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<sst xmlns="http://schemas.openxmlformats.org/spreadsheetml/2006/main" uniqueCount="58">
  <si>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</si>
  <si>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$m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</si>
  <si>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</si>
  <si>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</si>
  <si>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</si>
  <si>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</si>
  <si>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</si>
  <si>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</si>
  <si>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</si>
  <si>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</si>
  <si>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</si>
  <si>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</si>
  <si>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</si>
  <si>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</si>
  <si>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</si>
  <si>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</si>
  <si>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</si>
  <si>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</si>
  <si>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</si>
  <si>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</si>
  <si>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</si>
  <si>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</si>
  <si>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</si>
  <si>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</si>
  <si>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</si>
  <si>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</si>
  <si>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</si>
  <si>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</si>
  <si>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</si>
  <si>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</si>
  <si>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</si>
  <si>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</si>
  <si>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</si>
  <si>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</si>
  <si>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</si>
  <si>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</si>
  <si>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</si>
  <si>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</si>
  <si>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</si>
  <si>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</si>
  <si>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</si>
  <si>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</si>
  <si>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>Sales forecasts</t>
  </si>
  <si>
    <t xml:space="preserve">Sales growth </t>
  </si>
  <si>
    <t xml:space="preserve">Cost ratio </t>
  </si>
  <si>
    <t>Oil</t>
  </si>
  <si>
    <t xml:space="preserve">Net income </t>
  </si>
  <si>
    <t>Non cash</t>
  </si>
  <si>
    <t xml:space="preserve">Working capital </t>
  </si>
  <si>
    <t xml:space="preserve">Operating </t>
  </si>
  <si>
    <t xml:space="preserve">Investment </t>
  </si>
  <si>
    <t xml:space="preserve">Free cashflow </t>
  </si>
  <si>
    <t>Cash</t>
  </si>
  <si>
    <t xml:space="preserve">Assets </t>
  </si>
  <si>
    <t>Other Assets</t>
  </si>
  <si>
    <t>Net cadh</t>
  </si>
  <si>
    <t>XOM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</si>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</sst>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sz val="10"/>
      <color indexed="8"/>
      <name val="Arial"/>
    </font>
    <font>
      <sz val="12"/>
      <color indexed="1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6"/>
      </bottom>
      <diagonal/>
    </border>
    <border>
      <left style="thin">
        <color indexed="11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6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vertical="top" wrapText="1"/>
    </xf>
    <xf numFmtId="3" fontId="4" borderId="9" applyNumberFormat="1" applyFont="1" applyFill="0" applyBorder="1" applyAlignment="1" applyProtection="0">
      <alignment vertical="center" wrapText="1" readingOrder="1"/>
    </xf>
    <xf numFmtId="3" fontId="5" borderId="10" applyNumberFormat="1" applyFont="1" applyFill="0" applyBorder="1" applyAlignment="1" applyProtection="0">
      <alignment vertical="center" wrapText="1" readingOrder="1"/>
    </xf>
    <xf numFmtId="3" fontId="5" borderId="11" applyNumberFormat="1" applyFont="1" applyFill="0" applyBorder="1" applyAlignment="1" applyProtection="0">
      <alignment vertical="center" wrapText="1" readingOrder="1"/>
    </xf>
    <xf numFmtId="3" fontId="4" borderId="12" applyNumberFormat="1" applyFont="1" applyFill="0" applyBorder="1" applyAlignment="1" applyProtection="0">
      <alignment vertical="center" wrapText="1" readingOrder="1"/>
    </xf>
    <xf numFmtId="3" fontId="0" borderId="8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d9d9d9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206415"/>
          <c:y val="0.12368"/>
          <c:w val="0.75369"/>
          <c:h val="0.810337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-70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.5"/>
        <c:minorUnit val="1.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859904"/>
          <c:y val="0"/>
          <c:w val="0.86753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82541"/>
          <c:y val="0.12368"/>
          <c:w val="0.761798"/>
          <c:h val="0.810337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2">
                  <a:hueOff val="260011"/>
                  <a:satOff val="17755"/>
                  <a:lumOff val="-25437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2">
                    <a:hueOff val="260011"/>
                    <a:satOff val="17755"/>
                    <a:lumOff val="-25437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"/>
        <c:minorUnit val="12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0.922256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462479</xdr:colOff>
      <xdr:row>2</xdr:row>
      <xdr:rowOff>5976</xdr:rowOff>
    </xdr:from>
    <xdr:to>
      <xdr:col>13</xdr:col>
      <xdr:colOff>534028</xdr:colOff>
      <xdr:row>49</xdr:row>
      <xdr:rowOff>31553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82079" y="659391"/>
          <a:ext cx="8783750" cy="119965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780898</xdr:colOff>
      <xdr:row>91</xdr:row>
      <xdr:rowOff>80096</xdr:rowOff>
    </xdr:from>
    <xdr:to>
      <xdr:col>12</xdr:col>
      <xdr:colOff>498313</xdr:colOff>
      <xdr:row>106</xdr:row>
      <xdr:rowOff>99146</xdr:rowOff>
    </xdr:to>
    <xdr:graphicFrame>
      <xdr:nvGraphicFramePr>
        <xdr:cNvPr id="4" name="2D Line Chart"/>
        <xdr:cNvGraphicFramePr/>
      </xdr:nvGraphicFramePr>
      <xdr:xfrm>
        <a:off x="7499198" y="23682411"/>
        <a:ext cx="3019415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210208</xdr:colOff>
      <xdr:row>91</xdr:row>
      <xdr:rowOff>80096</xdr:rowOff>
    </xdr:from>
    <xdr:to>
      <xdr:col>11</xdr:col>
      <xdr:colOff>723359</xdr:colOff>
      <xdr:row>106</xdr:row>
      <xdr:rowOff>99146</xdr:rowOff>
    </xdr:to>
    <xdr:graphicFrame>
      <xdr:nvGraphicFramePr>
        <xdr:cNvPr id="5" name="2D Line Chart"/>
        <xdr:cNvGraphicFramePr/>
      </xdr:nvGraphicFramePr>
      <xdr:xfrm>
        <a:off x="7754008" y="23682411"/>
        <a:ext cx="2164152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4.7656" style="1" customWidth="1"/>
    <col min="3" max="6" width="9.14062" style="1" customWidth="1"/>
    <col min="7" max="16384" width="16.3516" style="1" customWidth="1"/>
  </cols>
  <sheetData>
    <row r="1" ht="23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AVERAGE('Sales'!E29:E32)</f>
        <v>0.112137192233158</v>
      </c>
      <c r="D4" s="8"/>
      <c r="E4" s="8"/>
      <c r="F4" s="9">
        <f>AVERAGE(C5:F5)</f>
        <v>0.03</v>
      </c>
    </row>
    <row r="5" ht="20.05" customHeight="1">
      <c r="B5" t="s" s="10">
        <v>4</v>
      </c>
      <c r="C5" s="11">
        <v>0.04</v>
      </c>
      <c r="D5" s="12">
        <v>0.03</v>
      </c>
      <c r="E5" s="12">
        <v>0.04</v>
      </c>
      <c r="F5" s="12">
        <v>0.01</v>
      </c>
    </row>
    <row r="6" ht="20.05" customHeight="1">
      <c r="B6" t="s" s="10">
        <v>5</v>
      </c>
      <c r="C6" s="13">
        <f>'Sales'!C32*(1+C5)</f>
        <v>91243.36</v>
      </c>
      <c r="D6" s="14">
        <f>C6*(1+D5)</f>
        <v>93980.6608</v>
      </c>
      <c r="E6" s="14">
        <f>D6*(1+E5)</f>
        <v>97739.887231999994</v>
      </c>
      <c r="F6" s="14">
        <f>E6*(1+F5)</f>
        <v>98717.28610432</v>
      </c>
    </row>
    <row r="7" ht="20.05" customHeight="1">
      <c r="B7" t="s" s="10">
        <v>6</v>
      </c>
      <c r="C7" s="15">
        <f>AVERAGE('Sales'!G32)</f>
        <v>-0.826122761601211</v>
      </c>
      <c r="D7" s="16">
        <f>C7</f>
        <v>-0.826122761601211</v>
      </c>
      <c r="E7" s="16">
        <f>D7</f>
        <v>-0.826122761601211</v>
      </c>
      <c r="F7" s="16">
        <f>E7</f>
        <v>-0.826122761601211</v>
      </c>
    </row>
    <row r="8" ht="20.05" customHeight="1">
      <c r="B8" t="s" s="10">
        <v>7</v>
      </c>
      <c r="C8" s="17">
        <f>C7*C6</f>
        <v>-75378.2165409735</v>
      </c>
      <c r="D8" s="18">
        <f>D7*D6</f>
        <v>-77639.563037202694</v>
      </c>
      <c r="E8" s="18">
        <f>E7*E6</f>
        <v>-80745.1455586908</v>
      </c>
      <c r="F8" s="18">
        <f>F7*F6</f>
        <v>-81552.597014277693</v>
      </c>
    </row>
    <row r="9" ht="20.05" customHeight="1">
      <c r="B9" t="s" s="10">
        <v>8</v>
      </c>
      <c r="C9" s="17">
        <f>C6+C8</f>
        <v>15865.1434590265</v>
      </c>
      <c r="D9" s="18">
        <f>D6+D8</f>
        <v>16341.0977627973</v>
      </c>
      <c r="E9" s="18">
        <f>E6+E8</f>
        <v>16994.7416733092</v>
      </c>
      <c r="F9" s="18">
        <f>F6+F8</f>
        <v>17164.6890900423</v>
      </c>
    </row>
    <row r="10" ht="20.05" customHeight="1">
      <c r="B10" t="s" s="10">
        <v>9</v>
      </c>
      <c r="C10" s="17">
        <f>AVERAGE('Cashflow'!G30:G32)</f>
        <v>-3036.333333333330</v>
      </c>
      <c r="D10" s="18">
        <f>C10</f>
        <v>-3036.333333333330</v>
      </c>
      <c r="E10" s="18">
        <f>D10</f>
        <v>-3036.333333333330</v>
      </c>
      <c r="F10" s="18">
        <f>E10</f>
        <v>-3036.333333333330</v>
      </c>
    </row>
    <row r="11" ht="20.05" customHeight="1">
      <c r="B11" t="s" s="10">
        <v>10</v>
      </c>
      <c r="C11" s="17">
        <f>C12+C15+C13</f>
        <v>-12828.8101256932</v>
      </c>
      <c r="D11" s="18">
        <f>D12+D15+D13</f>
        <v>-13304.764429464</v>
      </c>
      <c r="E11" s="18">
        <f>E12+E15+E13</f>
        <v>-13958.4083399759</v>
      </c>
      <c r="F11" s="18">
        <f>F12+F15+F13</f>
        <v>-14128.355756709</v>
      </c>
    </row>
    <row r="12" ht="20.05" customHeight="1">
      <c r="B12" t="s" s="10">
        <v>11</v>
      </c>
      <c r="C12" s="17">
        <f>-('Balance sheet'!G32)/20</f>
        <v>-8912.25</v>
      </c>
      <c r="D12" s="18">
        <f>-C27/20</f>
        <v>-8466.637500000001</v>
      </c>
      <c r="E12" s="18">
        <f>-D27/20</f>
        <v>-8043.305625</v>
      </c>
      <c r="F12" s="18">
        <f>-E27/20</f>
        <v>-7641.14034375</v>
      </c>
    </row>
    <row r="13" ht="20.05" customHeight="1">
      <c r="B13" t="s" s="10">
        <v>12</v>
      </c>
      <c r="C13" s="17">
        <f>-MIN(0,C16)</f>
        <v>5717.333333333330</v>
      </c>
      <c r="D13" s="18">
        <f>-MIN(C28,D16)</f>
        <v>5271.720833333330</v>
      </c>
      <c r="E13" s="18">
        <f>-MIN(D28,E16)</f>
        <v>4848.388958333330</v>
      </c>
      <c r="F13" s="18">
        <f>-MIN(E28,F16)</f>
        <v>4446.223677083330</v>
      </c>
    </row>
    <row r="14" ht="20.05" customHeight="1">
      <c r="B14" t="s" s="10">
        <v>13</v>
      </c>
      <c r="C14" s="19">
        <v>1</v>
      </c>
      <c r="D14" s="18"/>
      <c r="E14" s="18"/>
      <c r="F14" s="18"/>
    </row>
    <row r="15" ht="20.05" customHeight="1">
      <c r="B15" t="s" s="10">
        <v>14</v>
      </c>
      <c r="C15" s="17">
        <f>IF(C22&gt;0,-C22*$C$14,0)</f>
        <v>-9633.8934590265</v>
      </c>
      <c r="D15" s="18">
        <f>IF(D22&gt;0,-D22*$C$14,0)</f>
        <v>-10109.8477627973</v>
      </c>
      <c r="E15" s="18">
        <f>IF(E22&gt;0,-E22*$C$14,0)</f>
        <v>-10763.4916733092</v>
      </c>
      <c r="F15" s="18">
        <f>IF(F22&gt;0,-F22*$C$14,0)</f>
        <v>-10933.4390900423</v>
      </c>
    </row>
    <row r="16" ht="20.05" customHeight="1">
      <c r="B16" t="s" s="10">
        <v>15</v>
      </c>
      <c r="C16" s="17">
        <f>C9+C10+C12+C15</f>
        <v>-5717.333333333330</v>
      </c>
      <c r="D16" s="18">
        <f>D9+D10+D12+D15</f>
        <v>-5271.720833333330</v>
      </c>
      <c r="E16" s="18">
        <f>E9+E10+E12+E15</f>
        <v>-4848.388958333330</v>
      </c>
      <c r="F16" s="18">
        <f>F9+F10+F12+F15</f>
        <v>-4446.223677083330</v>
      </c>
    </row>
    <row r="17" ht="20.05" customHeight="1">
      <c r="B17" t="s" s="10">
        <v>16</v>
      </c>
      <c r="C17" s="17">
        <f>'Balance sheet'!C32</f>
        <v>11074</v>
      </c>
      <c r="D17" s="18">
        <f>C19</f>
        <v>11074</v>
      </c>
      <c r="E17" s="18">
        <f>D19</f>
        <v>11074</v>
      </c>
      <c r="F17" s="18">
        <f>E19</f>
        <v>11074</v>
      </c>
    </row>
    <row r="18" ht="20.05" customHeight="1">
      <c r="B18" t="s" s="10">
        <v>17</v>
      </c>
      <c r="C18" s="17">
        <f>C9+C10+C11</f>
        <v>-3e-11</v>
      </c>
      <c r="D18" s="18">
        <f>D9+D10+D11</f>
        <v>-3e-11</v>
      </c>
      <c r="E18" s="18">
        <f>E9+E10+E11</f>
        <v>-3e-11</v>
      </c>
      <c r="F18" s="18">
        <f>F9+F10+F11</f>
        <v>-3e-11</v>
      </c>
    </row>
    <row r="19" ht="20.05" customHeight="1">
      <c r="B19" t="s" s="10">
        <v>18</v>
      </c>
      <c r="C19" s="17">
        <f>C17+C18</f>
        <v>11074</v>
      </c>
      <c r="D19" s="18">
        <f>D17+D18</f>
        <v>11074</v>
      </c>
      <c r="E19" s="18">
        <f>E17+E18</f>
        <v>11074</v>
      </c>
      <c r="F19" s="18">
        <f>F17+F18</f>
        <v>11074</v>
      </c>
    </row>
    <row r="20" ht="20.05" customHeight="1">
      <c r="B20" t="s" s="20">
        <v>19</v>
      </c>
      <c r="C20" s="21"/>
      <c r="D20" s="22"/>
      <c r="E20" s="22"/>
      <c r="F20" s="23"/>
    </row>
    <row r="21" ht="20.05" customHeight="1">
      <c r="B21" t="s" s="10">
        <v>20</v>
      </c>
      <c r="C21" s="17">
        <f>-AVERAGE('Cashflow'!D29:D32)</f>
        <v>-6231.25</v>
      </c>
      <c r="D21" s="18">
        <f>C21</f>
        <v>-6231.25</v>
      </c>
      <c r="E21" s="18">
        <f>D21</f>
        <v>-6231.25</v>
      </c>
      <c r="F21" s="18">
        <f>E21</f>
        <v>-6231.25</v>
      </c>
    </row>
    <row r="22" ht="20.05" customHeight="1">
      <c r="B22" t="s" s="10">
        <v>21</v>
      </c>
      <c r="C22" s="17">
        <f>C6+C8+C21</f>
        <v>9633.8934590265</v>
      </c>
      <c r="D22" s="18">
        <f>D6+D8+D21</f>
        <v>10109.8477627973</v>
      </c>
      <c r="E22" s="18">
        <f>E6+E8+E21</f>
        <v>10763.4916733092</v>
      </c>
      <c r="F22" s="18">
        <f>F6+F8+F21</f>
        <v>10933.4390900423</v>
      </c>
    </row>
    <row r="23" ht="20.05" customHeight="1">
      <c r="B23" t="s" s="20">
        <v>22</v>
      </c>
      <c r="C23" s="21"/>
      <c r="D23" s="22"/>
      <c r="E23" s="22"/>
      <c r="F23" s="18"/>
    </row>
    <row r="24" ht="20.05" customHeight="1">
      <c r="B24" t="s" s="10">
        <v>23</v>
      </c>
      <c r="C24" s="17">
        <f>'Balance sheet'!E32+'Balance sheet'!F32-C10</f>
        <v>647707.333333333</v>
      </c>
      <c r="D24" s="18">
        <f>C24-D10</f>
        <v>650743.666666666</v>
      </c>
      <c r="E24" s="18">
        <f>D24-E10</f>
        <v>653779.999999999</v>
      </c>
      <c r="F24" s="18">
        <f>E24-F10</f>
        <v>656816.333333332</v>
      </c>
    </row>
    <row r="25" ht="20.05" customHeight="1">
      <c r="B25" t="s" s="10">
        <v>24</v>
      </c>
      <c r="C25" s="17">
        <f>'Balance sheet'!F32-C21</f>
        <v>307205.25</v>
      </c>
      <c r="D25" s="18">
        <f>C25-D21</f>
        <v>313436.5</v>
      </c>
      <c r="E25" s="18">
        <f>D25-E21</f>
        <v>319667.75</v>
      </c>
      <c r="F25" s="18">
        <f>E25-F21</f>
        <v>325899</v>
      </c>
    </row>
    <row r="26" ht="20.05" customHeight="1">
      <c r="B26" t="s" s="10">
        <v>25</v>
      </c>
      <c r="C26" s="17">
        <f>C24-C25</f>
        <v>340502.083333333</v>
      </c>
      <c r="D26" s="18">
        <f>D24-D25</f>
        <v>337307.166666666</v>
      </c>
      <c r="E26" s="18">
        <f>E24-E25</f>
        <v>334112.249999999</v>
      </c>
      <c r="F26" s="18">
        <f>F24-F25</f>
        <v>330917.333333332</v>
      </c>
    </row>
    <row r="27" ht="20.05" customHeight="1">
      <c r="B27" t="s" s="10">
        <v>11</v>
      </c>
      <c r="C27" s="17">
        <f>'Balance sheet'!G32+C12</f>
        <v>169332.75</v>
      </c>
      <c r="D27" s="18">
        <f>C27+D12</f>
        <v>160866.1125</v>
      </c>
      <c r="E27" s="18">
        <f>D27+E12</f>
        <v>152822.806875</v>
      </c>
      <c r="F27" s="18">
        <f>E27+F12</f>
        <v>145181.66653125</v>
      </c>
    </row>
    <row r="28" ht="20.05" customHeight="1">
      <c r="B28" t="s" s="10">
        <v>12</v>
      </c>
      <c r="C28" s="17">
        <f>C13</f>
        <v>5717.333333333330</v>
      </c>
      <c r="D28" s="18">
        <f>C28+D13</f>
        <v>10989.0541666667</v>
      </c>
      <c r="E28" s="18">
        <f>D28+E13</f>
        <v>15837.443125</v>
      </c>
      <c r="F28" s="18">
        <f>E28+F13</f>
        <v>20283.6668020833</v>
      </c>
    </row>
    <row r="29" ht="20.05" customHeight="1">
      <c r="B29" t="s" s="10">
        <v>26</v>
      </c>
      <c r="C29" s="17">
        <f>'Balance sheet'!H32+C22+C15</f>
        <v>176526</v>
      </c>
      <c r="D29" s="18">
        <f>C29+D22+D15</f>
        <v>176526</v>
      </c>
      <c r="E29" s="18">
        <f>D29+E22+E15</f>
        <v>176526</v>
      </c>
      <c r="F29" s="18">
        <f>E29+F22+F15</f>
        <v>176526</v>
      </c>
    </row>
    <row r="30" ht="20.05" customHeight="1">
      <c r="B30" t="s" s="10">
        <v>27</v>
      </c>
      <c r="C30" s="17">
        <f>C27+C28+C29-C19-C26</f>
        <v>3.3e-10</v>
      </c>
      <c r="D30" s="18">
        <f>D27+D28+D29-D19-D26</f>
        <v>7e-10</v>
      </c>
      <c r="E30" s="18">
        <f>E27+E28+E29-E19-E26</f>
        <v>1e-09</v>
      </c>
      <c r="F30" s="18">
        <f>F27+F28+F29-F19-F26</f>
        <v>1.3e-09</v>
      </c>
    </row>
    <row r="31" ht="20.05" customHeight="1">
      <c r="B31" t="s" s="10">
        <v>28</v>
      </c>
      <c r="C31" s="17">
        <f>C19-C27-C28</f>
        <v>-163976.083333333</v>
      </c>
      <c r="D31" s="18">
        <f>D19-D27-D28</f>
        <v>-160781.166666667</v>
      </c>
      <c r="E31" s="18">
        <f>E19-E27-E28</f>
        <v>-157586.25</v>
      </c>
      <c r="F31" s="18">
        <f>F19-F27-F28</f>
        <v>-154391.333333333</v>
      </c>
    </row>
    <row r="32" ht="20.05" customHeight="1">
      <c r="B32" t="s" s="10">
        <v>29</v>
      </c>
      <c r="C32" s="17"/>
      <c r="D32" s="18"/>
      <c r="E32" s="18"/>
      <c r="F32" s="18"/>
    </row>
    <row r="33" ht="20.05" customHeight="1">
      <c r="B33" t="s" s="10">
        <v>30</v>
      </c>
      <c r="C33" s="17">
        <f>'Cashflow'!N32-C11</f>
        <v>107203.810125693</v>
      </c>
      <c r="D33" s="18">
        <f>C33-D11</f>
        <v>120508.574555157</v>
      </c>
      <c r="E33" s="18">
        <f>D33-E11</f>
        <v>134466.982895133</v>
      </c>
      <c r="F33" s="18">
        <f>E33-F11</f>
        <v>148595.338651842</v>
      </c>
    </row>
    <row r="34" ht="20.05" customHeight="1">
      <c r="B34" t="s" s="10">
        <v>31</v>
      </c>
      <c r="C34" s="17"/>
      <c r="D34" s="18"/>
      <c r="E34" s="18"/>
      <c r="F34" s="18">
        <v>397491765248</v>
      </c>
    </row>
    <row r="35" ht="20.05" customHeight="1">
      <c r="B35" t="s" s="10">
        <v>31</v>
      </c>
      <c r="C35" s="17"/>
      <c r="D35" s="18"/>
      <c r="E35" s="18"/>
      <c r="F35" s="18">
        <f>F34/1000000</f>
        <v>397491.765248</v>
      </c>
    </row>
    <row r="36" ht="20.05" customHeight="1">
      <c r="B36" t="s" s="10">
        <v>32</v>
      </c>
      <c r="C36" s="17"/>
      <c r="D36" s="18"/>
      <c r="E36" s="18"/>
      <c r="F36" s="24">
        <f>F35/(F19+F26)</f>
        <v>1.16228607717545</v>
      </c>
    </row>
    <row r="37" ht="20.05" customHeight="1">
      <c r="B37" t="s" s="10">
        <v>33</v>
      </c>
      <c r="C37" s="17"/>
      <c r="D37" s="18"/>
      <c r="E37" s="18"/>
      <c r="F37" s="16">
        <f>-(C15+D15+E15+F15)/F35</f>
        <v>0.104255422648366</v>
      </c>
    </row>
    <row r="38" ht="20.05" customHeight="1">
      <c r="B38" t="s" s="10">
        <v>3</v>
      </c>
      <c r="C38" s="17"/>
      <c r="D38" s="18"/>
      <c r="E38" s="18"/>
      <c r="F38" s="18">
        <f>SUM(C9:F10)</f>
        <v>54220.338651842</v>
      </c>
    </row>
    <row r="39" ht="20.05" customHeight="1">
      <c r="B39" t="s" s="10">
        <v>34</v>
      </c>
      <c r="C39" s="17"/>
      <c r="D39" s="18"/>
      <c r="E39" s="18"/>
      <c r="F39" s="18">
        <f>'Balance sheet'!E32/F38</f>
        <v>6.33889438070346</v>
      </c>
    </row>
    <row r="40" ht="20.05" customHeight="1">
      <c r="B40" t="s" s="10">
        <v>29</v>
      </c>
      <c r="C40" s="17"/>
      <c r="D40" s="18"/>
      <c r="E40" s="18"/>
      <c r="F40" s="18">
        <f>F35/F38</f>
        <v>7.33104541822142</v>
      </c>
    </row>
    <row r="41" ht="20.05" customHeight="1">
      <c r="B41" t="s" s="10">
        <v>35</v>
      </c>
      <c r="C41" s="17"/>
      <c r="D41" s="18"/>
      <c r="E41" s="18"/>
      <c r="F41" s="18">
        <v>12</v>
      </c>
    </row>
    <row r="42" ht="20.05" customHeight="1">
      <c r="B42" t="s" s="10">
        <v>36</v>
      </c>
      <c r="C42" s="17"/>
      <c r="D42" s="18"/>
      <c r="E42" s="18"/>
      <c r="F42" s="18">
        <f>F38*F41</f>
        <v>650644.063822104</v>
      </c>
    </row>
    <row r="43" ht="20.05" customHeight="1">
      <c r="B43" t="s" s="10">
        <v>37</v>
      </c>
      <c r="C43" s="17"/>
      <c r="D43" s="18"/>
      <c r="E43" s="18"/>
      <c r="F43" s="18">
        <f>F35/F45</f>
        <v>4233.590001576310</v>
      </c>
    </row>
    <row r="44" ht="20.05" customHeight="1">
      <c r="B44" t="s" s="10">
        <v>38</v>
      </c>
      <c r="C44" s="17"/>
      <c r="D44" s="18"/>
      <c r="E44" s="18"/>
      <c r="F44" s="18">
        <f>F42/F43</f>
        <v>153.686130111760</v>
      </c>
    </row>
    <row r="45" ht="20.05" customHeight="1">
      <c r="B45" t="s" s="10">
        <v>39</v>
      </c>
      <c r="C45" s="17"/>
      <c r="D45" s="18"/>
      <c r="E45" s="18"/>
      <c r="F45" s="18">
        <v>93.89</v>
      </c>
    </row>
    <row r="46" ht="20.05" customHeight="1">
      <c r="B46" t="s" s="10">
        <v>40</v>
      </c>
      <c r="C46" s="17"/>
      <c r="D46" s="18"/>
      <c r="E46" s="18"/>
      <c r="F46" s="16">
        <f>F44/F45-1</f>
        <v>0.636874322204282</v>
      </c>
    </row>
    <row r="47" ht="20.05" customHeight="1">
      <c r="B47" t="s" s="10">
        <v>41</v>
      </c>
      <c r="C47" s="17"/>
      <c r="D47" s="18"/>
      <c r="E47" s="18"/>
      <c r="F47" s="16">
        <f>'Sales'!C32/'Sales'!C28-1</f>
        <v>0.524430080622741</v>
      </c>
    </row>
    <row r="48" ht="20.05" customHeight="1">
      <c r="B48" t="s" s="10">
        <v>42</v>
      </c>
      <c r="C48" s="17"/>
      <c r="D48" s="18"/>
      <c r="E48" s="18"/>
      <c r="F48" s="16">
        <f>'Sales'!F35/'Sales'!E35-1</f>
        <v>-0.0195362246777164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11719" style="25" customWidth="1"/>
    <col min="2" max="2" width="11.9297" style="25" customWidth="1"/>
    <col min="3" max="10" width="12.0469" style="25" customWidth="1"/>
    <col min="11" max="16384" width="16.3516" style="25" customWidth="1"/>
  </cols>
  <sheetData>
    <row r="1" ht="13.4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20.25" customHeight="1">
      <c r="B3" t="s" s="5">
        <v>1</v>
      </c>
      <c r="C3" t="s" s="5">
        <v>5</v>
      </c>
      <c r="D3" t="s" s="5">
        <v>35</v>
      </c>
      <c r="E3" t="s" s="5">
        <v>43</v>
      </c>
      <c r="F3" t="s" s="5">
        <v>44</v>
      </c>
      <c r="G3" t="s" s="5">
        <v>44</v>
      </c>
      <c r="H3" t="s" s="5">
        <v>35</v>
      </c>
      <c r="I3" t="s" s="5">
        <v>45</v>
      </c>
      <c r="J3" s="26"/>
    </row>
    <row r="4" ht="20.25" customHeight="1">
      <c r="B4" s="27">
        <v>2015</v>
      </c>
      <c r="C4" s="28">
        <v>64758</v>
      </c>
      <c r="D4" s="8"/>
      <c r="E4" s="9"/>
      <c r="F4" s="29">
        <f>('Cashflow'!C4+'Cashflow'!D4+'Cashflow'!E4-C4)/C4</f>
        <v>-0.876494023904382</v>
      </c>
      <c r="G4" s="29"/>
      <c r="H4" s="29"/>
      <c r="I4" s="30"/>
      <c r="J4" s="30"/>
    </row>
    <row r="5" ht="20.05" customHeight="1">
      <c r="B5" s="31"/>
      <c r="C5" s="13">
        <v>71360</v>
      </c>
      <c r="D5" s="23"/>
      <c r="E5" s="16">
        <f>C5/C4-1</f>
        <v>0.101948793971401</v>
      </c>
      <c r="F5" s="16">
        <f>('Cashflow'!C5+'Cashflow'!D5+'Cashflow'!E5-C5)/C5</f>
        <v>-0.876793721973094</v>
      </c>
      <c r="G5" s="16"/>
      <c r="H5" s="16"/>
      <c r="I5" s="18"/>
      <c r="J5" s="18"/>
    </row>
    <row r="6" ht="20.05" customHeight="1">
      <c r="B6" s="31"/>
      <c r="C6" s="13">
        <v>65679</v>
      </c>
      <c r="D6" s="23"/>
      <c r="E6" s="16">
        <f>C6/C5-1</f>
        <v>-0.0796104260089686</v>
      </c>
      <c r="F6" s="16">
        <f>('Cashflow'!C6+'Cashflow'!D6+'Cashflow'!E6-C6)/C6</f>
        <v>-0.860320650436212</v>
      </c>
      <c r="G6" s="16"/>
      <c r="H6" s="16"/>
      <c r="I6" s="18"/>
      <c r="J6" s="18"/>
    </row>
    <row r="7" ht="20.05" customHeight="1">
      <c r="B7" s="31"/>
      <c r="C7" s="13">
        <v>38057</v>
      </c>
      <c r="D7" s="23"/>
      <c r="E7" s="16">
        <f>C7/C6-1</f>
        <v>-0.420560605368535</v>
      </c>
      <c r="F7" s="16">
        <f>('Cashflow'!C7+'Cashflow'!D7+'Cashflow'!E7-C7)/C7</f>
        <v>-0.884909477888431</v>
      </c>
      <c r="G7" s="16"/>
      <c r="H7" s="16"/>
      <c r="I7" s="18"/>
      <c r="J7" s="18"/>
    </row>
    <row r="8" ht="20.05" customHeight="1">
      <c r="B8" s="32">
        <v>2016</v>
      </c>
      <c r="C8" s="13">
        <v>47105</v>
      </c>
      <c r="D8" s="23"/>
      <c r="E8" s="16">
        <f>C8/C7-1</f>
        <v>0.237748640197598</v>
      </c>
      <c r="F8" s="16">
        <f>('Cashflow'!C8+'Cashflow'!D8+'Cashflow'!E8-C8)/C8</f>
        <v>-0.8978452393588791</v>
      </c>
      <c r="G8" s="16"/>
      <c r="H8" s="16"/>
      <c r="I8" s="18"/>
      <c r="J8" s="18"/>
    </row>
    <row r="9" ht="20.05" customHeight="1">
      <c r="B9" s="31"/>
      <c r="C9" s="13">
        <v>56360</v>
      </c>
      <c r="D9" s="23"/>
      <c r="E9" s="16">
        <f>C9/C8-1</f>
        <v>0.196475957966246</v>
      </c>
      <c r="F9" s="16">
        <f>('Cashflow'!C9+'Cashflow'!D9+'Cashflow'!E9-C9)/C9</f>
        <v>-0.919819020581973</v>
      </c>
      <c r="G9" s="16"/>
      <c r="H9" s="16"/>
      <c r="I9" s="18"/>
      <c r="J9" s="18"/>
    </row>
    <row r="10" ht="20.05" customHeight="1">
      <c r="B10" s="31"/>
      <c r="C10" s="13">
        <v>56767</v>
      </c>
      <c r="D10" s="23"/>
      <c r="E10" s="16">
        <f>C10/C9-1</f>
        <v>0.00722143364088006</v>
      </c>
      <c r="F10" s="16">
        <f>('Cashflow'!C10+'Cashflow'!D10+'Cashflow'!E10-C10)/C10</f>
        <v>-0.90566702485599</v>
      </c>
      <c r="G10" s="16"/>
      <c r="H10" s="16"/>
      <c r="I10" s="18"/>
      <c r="J10" s="18"/>
    </row>
    <row r="11" ht="20.05" customHeight="1">
      <c r="B11" s="31"/>
      <c r="C11" s="13">
        <v>40396</v>
      </c>
      <c r="D11" s="23"/>
      <c r="E11" s="16">
        <f>C11/C10-1</f>
        <v>-0.288389381154544</v>
      </c>
      <c r="F11" s="16">
        <f>('Cashflow'!C11+'Cashflow'!D11+'Cashflow'!E11-C11)/C11</f>
        <v>-0.816912565600555</v>
      </c>
      <c r="G11" s="16"/>
      <c r="H11" s="16"/>
      <c r="I11" s="18"/>
      <c r="J11" s="18"/>
    </row>
    <row r="12" ht="20.05" customHeight="1">
      <c r="B12" s="32">
        <v>2017</v>
      </c>
      <c r="C12" s="13">
        <v>56474</v>
      </c>
      <c r="D12" s="23"/>
      <c r="E12" s="16">
        <f>C12/C11-1</f>
        <v>0.398009703931082</v>
      </c>
      <c r="F12" s="16">
        <f>('Cashflow'!C12+'Cashflow'!D12+'Cashflow'!E12-C12)/C12</f>
        <v>-0.855278535255162</v>
      </c>
      <c r="G12" s="16">
        <f>AVERAGE(F9:F12)</f>
        <v>-0.8744192865734201</v>
      </c>
      <c r="H12" s="16"/>
      <c r="I12" s="18"/>
      <c r="J12" s="18"/>
    </row>
    <row r="13" ht="20.05" customHeight="1">
      <c r="B13" s="31"/>
      <c r="C13" s="13">
        <v>56026</v>
      </c>
      <c r="D13" s="23"/>
      <c r="E13" s="16">
        <f>C13/C12-1</f>
        <v>-0.00793285405673407</v>
      </c>
      <c r="F13" s="16">
        <f>('Cashflow'!C13+'Cashflow'!D13+'Cashflow'!E13-C13)/C13</f>
        <v>-0.876003998143719</v>
      </c>
      <c r="G13" s="16">
        <f>AVERAGE(F10:F13)</f>
        <v>-0.863465530963857</v>
      </c>
      <c r="H13" s="16"/>
      <c r="I13" s="18"/>
      <c r="J13" s="18"/>
    </row>
    <row r="14" ht="20.05" customHeight="1">
      <c r="B14" s="31"/>
      <c r="C14" s="13">
        <v>59350</v>
      </c>
      <c r="D14" s="23"/>
      <c r="E14" s="16">
        <f>C14/C13-1</f>
        <v>0.059329596972834</v>
      </c>
      <c r="F14" s="16">
        <f>('Cashflow'!C14+'Cashflow'!D14+'Cashflow'!E14-C14)/C14</f>
        <v>-0.873041280539174</v>
      </c>
      <c r="G14" s="16">
        <f>AVERAGE(F11:F14)</f>
        <v>-0.855309094884653</v>
      </c>
      <c r="H14" s="16"/>
      <c r="I14" s="18"/>
      <c r="J14" s="18"/>
    </row>
    <row r="15" ht="20.05" customHeight="1">
      <c r="B15" s="31"/>
      <c r="C15" s="13">
        <v>65312</v>
      </c>
      <c r="D15" s="23"/>
      <c r="E15" s="16">
        <f>C15/C14-1</f>
        <v>0.100454928390901</v>
      </c>
      <c r="F15" s="16">
        <f>('Cashflow'!C15+'Cashflow'!D15+'Cashflow'!E15-C15)/C15</f>
        <v>-0.886529274865262</v>
      </c>
      <c r="G15" s="16">
        <f>AVERAGE(F12:F15)</f>
        <v>-0.8727132722008289</v>
      </c>
      <c r="H15" s="16"/>
      <c r="I15" s="18"/>
      <c r="J15" s="18"/>
    </row>
    <row r="16" ht="20.05" customHeight="1">
      <c r="B16" s="32">
        <v>2018</v>
      </c>
      <c r="C16" s="13">
        <v>65436</v>
      </c>
      <c r="D16" s="23"/>
      <c r="E16" s="16">
        <f>C16/C15-1</f>
        <v>0.00189857912787849</v>
      </c>
      <c r="F16" s="16">
        <f>('Cashflow'!C16+'Cashflow'!D16+'Cashflow'!E16-C16)/C16</f>
        <v>-0.869811724433034</v>
      </c>
      <c r="G16" s="16">
        <f>AVERAGE(F13:F16)</f>
        <v>-0.876346569495297</v>
      </c>
      <c r="H16" s="16"/>
      <c r="I16" s="18"/>
      <c r="J16" s="18"/>
    </row>
    <row r="17" ht="20.05" customHeight="1">
      <c r="B17" s="31"/>
      <c r="C17" s="13">
        <v>71456</v>
      </c>
      <c r="D17" s="23"/>
      <c r="E17" s="16">
        <f>C17/C16-1</f>
        <v>0.0919982884039367</v>
      </c>
      <c r="F17" s="16">
        <f>('Cashflow'!C17+'Cashflow'!D17+'Cashflow'!E17-C17)/C17</f>
        <v>-0.891121809225258</v>
      </c>
      <c r="G17" s="16">
        <f>AVERAGE(F14:F17)</f>
        <v>-0.880126022265682</v>
      </c>
      <c r="H17" s="16"/>
      <c r="I17" s="18"/>
      <c r="J17" s="18"/>
    </row>
    <row r="18" ht="20.05" customHeight="1">
      <c r="B18" s="31"/>
      <c r="C18" s="13">
        <v>74187</v>
      </c>
      <c r="D18" s="23"/>
      <c r="E18" s="16">
        <f>C18/C17-1</f>
        <v>0.0382193237796686</v>
      </c>
      <c r="F18" s="16">
        <f>('Cashflow'!C18+'Cashflow'!D18+'Cashflow'!E18-C18)/C18</f>
        <v>-0.850270262984081</v>
      </c>
      <c r="G18" s="16">
        <f>AVERAGE(F15:F18)</f>
        <v>-0.874433267876909</v>
      </c>
      <c r="H18" s="16"/>
      <c r="I18" s="18"/>
      <c r="J18" s="18"/>
    </row>
    <row r="19" ht="20.05" customHeight="1">
      <c r="B19" s="31"/>
      <c r="C19" s="13">
        <v>68253</v>
      </c>
      <c r="D19" s="23"/>
      <c r="E19" s="16">
        <f>C19/C18-1</f>
        <v>-0.07998705972744551</v>
      </c>
      <c r="F19" s="16">
        <f>('Cashflow'!C19+'Cashflow'!D19+'Cashflow'!E19-C19)/C19</f>
        <v>-0.873895652938332</v>
      </c>
      <c r="G19" s="16">
        <f>AVERAGE(F16:F19)</f>
        <v>-0.871274862395176</v>
      </c>
      <c r="H19" s="16"/>
      <c r="I19" s="18"/>
      <c r="J19" s="18"/>
    </row>
    <row r="20" ht="20.05" customHeight="1">
      <c r="B20" s="32">
        <v>2019</v>
      </c>
      <c r="C20" s="13">
        <v>61646</v>
      </c>
      <c r="D20" s="23"/>
      <c r="E20" s="16">
        <f>C20/C19-1</f>
        <v>-0.09680160579022171</v>
      </c>
      <c r="F20" s="16">
        <f>('Cashflow'!C20+'Cashflow'!D20+'Cashflow'!E20-C20)/C20</f>
        <v>-0.864743860104467</v>
      </c>
      <c r="G20" s="16">
        <f>AVERAGE(F17:F20)</f>
        <v>-0.870007896313035</v>
      </c>
      <c r="H20" s="16"/>
      <c r="I20" s="18"/>
      <c r="J20" s="18"/>
    </row>
    <row r="21" ht="20.05" customHeight="1">
      <c r="B21" s="31"/>
      <c r="C21" s="13">
        <v>67491</v>
      </c>
      <c r="D21" s="23"/>
      <c r="E21" s="16">
        <f>C21/C20-1</f>
        <v>0.0948155598092334</v>
      </c>
      <c r="F21" s="16">
        <f>('Cashflow'!C21+'Cashflow'!D21+'Cashflow'!E21-C21)/C21</f>
        <v>-0.911884547569306</v>
      </c>
      <c r="G21" s="16">
        <f>AVERAGE(F18:F21)</f>
        <v>-0.875198580899047</v>
      </c>
      <c r="H21" s="16"/>
      <c r="I21" s="18"/>
      <c r="J21" s="18"/>
    </row>
    <row r="22" ht="20.05" customHeight="1">
      <c r="B22" s="31"/>
      <c r="C22" s="13">
        <v>63422</v>
      </c>
      <c r="D22" s="23"/>
      <c r="E22" s="16">
        <f>C22/C21-1</f>
        <v>-0.0602895200841594</v>
      </c>
      <c r="F22" s="16">
        <f>('Cashflow'!C22+'Cashflow'!D22+'Cashflow'!E22-C22)/C22</f>
        <v>-0.856847781526915</v>
      </c>
      <c r="G22" s="16">
        <f>AVERAGE(F19:F22)</f>
        <v>-0.876842960534755</v>
      </c>
      <c r="H22" s="16"/>
      <c r="I22" s="18"/>
      <c r="J22" s="18"/>
    </row>
    <row r="23" ht="20.05" customHeight="1">
      <c r="B23" s="31"/>
      <c r="C23" s="13">
        <v>55134</v>
      </c>
      <c r="D23" s="23"/>
      <c r="E23" s="16">
        <f>C23/C22-1</f>
        <v>-0.130680205606887</v>
      </c>
      <c r="F23" s="16">
        <f>('Cashflow'!C23+'Cashflow'!D23+'Cashflow'!E23-C23)/C23</f>
        <v>-0.884789784887728</v>
      </c>
      <c r="G23" s="16">
        <f>AVERAGE(F20:F23)</f>
        <v>-0.879566493522104</v>
      </c>
      <c r="H23" s="16"/>
      <c r="I23" s="18"/>
      <c r="J23" s="18"/>
    </row>
    <row r="24" ht="20.05" customHeight="1">
      <c r="B24" s="32">
        <v>2020</v>
      </c>
      <c r="C24" s="13">
        <v>55134</v>
      </c>
      <c r="D24" s="14">
        <v>58563.7</v>
      </c>
      <c r="E24" s="16">
        <f>C24/C23-1</f>
        <v>0</v>
      </c>
      <c r="F24" s="16">
        <f>('Cashflow'!C24+'Cashflow'!D24+'Cashflow'!E24-C24)/C24</f>
        <v>-0.886204519896978</v>
      </c>
      <c r="G24" s="16">
        <f>AVERAGE(F21:F24)</f>
        <v>-0.884931658470232</v>
      </c>
      <c r="H24" s="16"/>
      <c r="I24" s="18"/>
      <c r="J24" s="18"/>
    </row>
    <row r="25" ht="20.05" customHeight="1">
      <c r="B25" s="31"/>
      <c r="C25" s="13">
        <v>32605</v>
      </c>
      <c r="D25" s="14">
        <v>33745.5</v>
      </c>
      <c r="E25" s="16">
        <f>C25/C24-1</f>
        <v>-0.408622628505097</v>
      </c>
      <c r="F25" s="16">
        <f>('Cashflow'!C25+'Cashflow'!D25+'Cashflow'!E25-C25)/C25</f>
        <v>-1</v>
      </c>
      <c r="G25" s="16">
        <f>AVERAGE(F22:F25)</f>
        <v>-0.906960521577905</v>
      </c>
      <c r="H25" s="16"/>
      <c r="I25" s="18"/>
      <c r="J25" s="18"/>
    </row>
    <row r="26" ht="20.05" customHeight="1">
      <c r="B26" s="31"/>
      <c r="C26" s="13">
        <v>46199</v>
      </c>
      <c r="D26" s="14">
        <v>47566.5</v>
      </c>
      <c r="E26" s="16">
        <f>C26/C25-1</f>
        <v>0.416929918724122</v>
      </c>
      <c r="F26" s="16">
        <f>('Cashflow'!C26+'Cashflow'!D26+'Cashflow'!E26-C26)/C26</f>
        <v>-0.904997943678435</v>
      </c>
      <c r="G26" s="16">
        <f>AVERAGE(F23:F26)</f>
        <v>-0.9189980621157851</v>
      </c>
      <c r="H26" s="16"/>
      <c r="I26" s="18"/>
      <c r="J26" s="18"/>
    </row>
    <row r="27" ht="20.05" customHeight="1">
      <c r="B27" s="31"/>
      <c r="C27" s="13">
        <v>44636</v>
      </c>
      <c r="D27" s="14">
        <v>50818.9</v>
      </c>
      <c r="E27" s="16">
        <f>C27/C26-1</f>
        <v>-0.0338319011234009</v>
      </c>
      <c r="F27" s="16">
        <f>('Cashflow'!C27+'Cashflow'!D27+'Cashflow'!E27-C27)/C27</f>
        <v>-0.9102742181199029</v>
      </c>
      <c r="G27" s="16">
        <f>AVERAGE(F24:F27)</f>
        <v>-0.925369170423829</v>
      </c>
      <c r="H27" s="16"/>
      <c r="I27" s="18"/>
      <c r="J27" s="18"/>
    </row>
    <row r="28" ht="20.05" customHeight="1">
      <c r="B28" s="32">
        <v>2021</v>
      </c>
      <c r="C28" s="17">
        <v>57552</v>
      </c>
      <c r="D28" s="14">
        <v>49099.6</v>
      </c>
      <c r="E28" s="16">
        <f>C28/C27-1</f>
        <v>0.289362846133166</v>
      </c>
      <c r="F28" s="16">
        <f>('Cashflow'!C28+'Cashflow'!D28+'Cashflow'!E28-C28)/C28</f>
        <v>-0.839032527105922</v>
      </c>
      <c r="G28" s="16">
        <f>AVERAGE(F25:F28)</f>
        <v>-0.913576172226065</v>
      </c>
      <c r="H28" s="16"/>
      <c r="I28" s="18">
        <v>59.16</v>
      </c>
      <c r="J28" s="18"/>
    </row>
    <row r="29" ht="20.05" customHeight="1">
      <c r="B29" s="31"/>
      <c r="C29" s="13">
        <v>67742</v>
      </c>
      <c r="D29" s="14">
        <v>58127.52</v>
      </c>
      <c r="E29" s="16">
        <f>C29/C28-1</f>
        <v>0.177057269947178</v>
      </c>
      <c r="F29" s="16">
        <f>('Cashflow'!C29+'Cashflow'!D29+'Cashflow'!E29-C29)/C29</f>
        <v>-0.857547754716424</v>
      </c>
      <c r="G29" s="16">
        <f>AVERAGE(F26:F29)</f>
        <v>-0.877963110905171</v>
      </c>
      <c r="H29" s="16"/>
      <c r="I29" s="18">
        <v>73.47</v>
      </c>
      <c r="J29" s="16">
        <f>I29/I28-1</f>
        <v>0.241886409736308</v>
      </c>
    </row>
    <row r="30" ht="20.05" customHeight="1">
      <c r="B30" s="31"/>
      <c r="C30" s="13">
        <v>73786</v>
      </c>
      <c r="D30" s="14">
        <v>67741.009999999995</v>
      </c>
      <c r="E30" s="16">
        <f>C30/C29-1</f>
        <v>0.0892208674086977</v>
      </c>
      <c r="F30" s="16">
        <f>('Cashflow'!C30+'Cashflow'!D30+'Cashflow'!E30-C30)/C30</f>
        <v>-0.836134226004933</v>
      </c>
      <c r="G30" s="16">
        <f>AVERAGE(F27:F30)</f>
        <v>-0.860747181486796</v>
      </c>
      <c r="H30" s="16"/>
      <c r="I30" s="18">
        <v>75.03</v>
      </c>
      <c r="J30" s="16">
        <f>I30/I29-1</f>
        <v>0.0212331563903634</v>
      </c>
    </row>
    <row r="31" ht="20.05" customHeight="1">
      <c r="B31" s="31"/>
      <c r="C31" s="13">
        <f>276692-C30-C29-C28</f>
        <v>77612</v>
      </c>
      <c r="D31" s="14">
        <v>77475.3</v>
      </c>
      <c r="E31" s="16">
        <f>C31/C30-1</f>
        <v>0.0518526549751985</v>
      </c>
      <c r="F31" s="16">
        <f>('Cashflow'!C31+'Cashflow'!D31+'Cashflow'!E31-C31)/C31</f>
        <v>-0.779364015873834</v>
      </c>
      <c r="G31" s="16">
        <f>AVERAGE(F28:F31)</f>
        <v>-0.828019630925278</v>
      </c>
      <c r="H31" s="23"/>
      <c r="I31" s="33">
        <v>75.20999999999999</v>
      </c>
      <c r="J31" s="16">
        <f>I31/I30-1</f>
        <v>0.00239904038384646</v>
      </c>
    </row>
    <row r="32" ht="20.05" customHeight="1">
      <c r="B32" s="32">
        <v>2022</v>
      </c>
      <c r="C32" s="13">
        <v>87734</v>
      </c>
      <c r="D32" s="14">
        <v>89253.8</v>
      </c>
      <c r="E32" s="16">
        <f>C32/C31-1</f>
        <v>0.130417976601556</v>
      </c>
      <c r="F32" s="16">
        <f>('Cashflow'!C32+'Cashflow'!D32+'Cashflow'!E32-C32)/C32</f>
        <v>-0.8314450498096519</v>
      </c>
      <c r="G32" s="16">
        <f>AVERAGE(F29:F32)</f>
        <v>-0.826122761601211</v>
      </c>
      <c r="H32" s="16">
        <v>-0.828019630925278</v>
      </c>
      <c r="I32" s="18">
        <v>113.23</v>
      </c>
      <c r="J32" s="16">
        <f>I32/I31-1</f>
        <v>0.505517883260205</v>
      </c>
    </row>
    <row r="33" ht="20.05" customHeight="1">
      <c r="B33" s="31"/>
      <c r="C33" s="13"/>
      <c r="D33" s="14">
        <f>'Model'!C6</f>
        <v>91243.36</v>
      </c>
      <c r="E33" s="12"/>
      <c r="F33" s="12"/>
      <c r="G33" s="16"/>
      <c r="H33" s="16">
        <f>'Model'!C7</f>
        <v>-0.826122761601211</v>
      </c>
      <c r="I33" s="18">
        <v>110</v>
      </c>
      <c r="J33" s="16">
        <f>I33/I32-1</f>
        <v>-0.0285260090082134</v>
      </c>
    </row>
    <row r="34" ht="20.05" customHeight="1">
      <c r="B34" s="31"/>
      <c r="C34" s="13"/>
      <c r="D34" s="14">
        <f>'Model'!D6</f>
        <v>93980.6608</v>
      </c>
      <c r="E34" s="12"/>
      <c r="F34" s="12"/>
      <c r="G34" s="16"/>
      <c r="H34" s="16"/>
      <c r="I34" s="18"/>
      <c r="J34" s="18"/>
    </row>
    <row r="35" ht="20.05" customHeight="1">
      <c r="B35" s="31"/>
      <c r="C35" s="13"/>
      <c r="D35" s="14">
        <f>'Model'!E6</f>
        <v>97739.887231999994</v>
      </c>
      <c r="E35" s="18">
        <f>SUM(C24:C32)</f>
        <v>543000</v>
      </c>
      <c r="F35" s="14">
        <f>SUM(D24:D32)</f>
        <v>532391.83</v>
      </c>
      <c r="G35" s="16"/>
      <c r="H35" s="16"/>
      <c r="I35" s="18"/>
      <c r="J35" s="18"/>
    </row>
    <row r="36" ht="20.05" customHeight="1">
      <c r="B36" s="32">
        <v>2023</v>
      </c>
      <c r="C36" s="13"/>
      <c r="D36" s="14">
        <f>'Model'!F6</f>
        <v>98717.28610432</v>
      </c>
      <c r="E36" s="12"/>
      <c r="F36" s="12"/>
      <c r="G36" s="16"/>
      <c r="H36" s="16"/>
      <c r="I36" s="18"/>
      <c r="J36" s="18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46875" style="34" customWidth="1"/>
    <col min="2" max="2" width="11.7891" style="34" customWidth="1"/>
    <col min="3" max="6" width="11.8516" style="34" customWidth="1"/>
    <col min="7" max="7" width="11.625" style="34" customWidth="1"/>
    <col min="8" max="16" width="10.8984" style="34" customWidth="1"/>
    <col min="17" max="16384" width="16.3516" style="34" customWidth="1"/>
  </cols>
  <sheetData>
    <row r="1" ht="42.6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49</v>
      </c>
      <c r="G3" t="s" s="5">
        <v>50</v>
      </c>
      <c r="H3" t="s" s="5">
        <v>11</v>
      </c>
      <c r="I3" t="s" s="5">
        <v>26</v>
      </c>
      <c r="J3" t="s" s="5">
        <v>10</v>
      </c>
      <c r="K3" t="s" s="5">
        <v>51</v>
      </c>
      <c r="L3" t="s" s="5">
        <v>3</v>
      </c>
      <c r="M3" t="s" s="5">
        <v>35</v>
      </c>
      <c r="N3" t="s" s="5">
        <v>30</v>
      </c>
      <c r="O3" t="s" s="5">
        <v>35</v>
      </c>
      <c r="P3" s="26"/>
    </row>
    <row r="4" ht="20.25" customHeight="1">
      <c r="B4" s="27">
        <v>2015</v>
      </c>
      <c r="C4" s="35">
        <v>4940</v>
      </c>
      <c r="D4" s="30">
        <v>4300</v>
      </c>
      <c r="E4" s="30">
        <f>F4-D4-C4</f>
        <v>-1242</v>
      </c>
      <c r="F4" s="30">
        <v>7998</v>
      </c>
      <c r="G4" s="30">
        <v>-6352</v>
      </c>
      <c r="H4" s="30"/>
      <c r="I4" s="30"/>
      <c r="J4" s="30">
        <v>-854</v>
      </c>
      <c r="K4" s="30">
        <f>F4+G4</f>
        <v>1646</v>
      </c>
      <c r="L4" s="30"/>
      <c r="M4" s="30"/>
      <c r="N4" s="30">
        <f>-J4</f>
        <v>854</v>
      </c>
      <c r="O4" s="30"/>
      <c r="P4" s="30">
        <v>1</v>
      </c>
    </row>
    <row r="5" ht="20.05" customHeight="1">
      <c r="B5" s="31"/>
      <c r="C5" s="17">
        <v>4262</v>
      </c>
      <c r="D5" s="18">
        <v>4451</v>
      </c>
      <c r="E5" s="18">
        <f>F5-D5-C5</f>
        <v>79</v>
      </c>
      <c r="F5" s="18">
        <v>8792</v>
      </c>
      <c r="G5" s="18">
        <v>-6491</v>
      </c>
      <c r="H5" s="18"/>
      <c r="I5" s="18"/>
      <c r="J5" s="18">
        <v>-3194</v>
      </c>
      <c r="K5" s="18">
        <f>F5+G5</f>
        <v>2301</v>
      </c>
      <c r="L5" s="18"/>
      <c r="M5" s="18"/>
      <c r="N5" s="18">
        <f>-J5+N4</f>
        <v>4048</v>
      </c>
      <c r="O5" s="18"/>
      <c r="P5" s="18">
        <f>1+P4</f>
        <v>2</v>
      </c>
    </row>
    <row r="6" ht="20.05" customHeight="1">
      <c r="B6" s="31"/>
      <c r="C6" s="17">
        <v>4384</v>
      </c>
      <c r="D6" s="18">
        <v>4542</v>
      </c>
      <c r="E6" s="18">
        <f>F6-D6-C6</f>
        <v>248</v>
      </c>
      <c r="F6" s="18">
        <v>9174</v>
      </c>
      <c r="G6" s="18">
        <v>-5657</v>
      </c>
      <c r="H6" s="18"/>
      <c r="I6" s="18"/>
      <c r="J6" s="18">
        <v>-3402</v>
      </c>
      <c r="K6" s="18">
        <f>F6+G6</f>
        <v>3517</v>
      </c>
      <c r="L6" s="18"/>
      <c r="M6" s="18"/>
      <c r="N6" s="18">
        <f>-J6+N5</f>
        <v>7450</v>
      </c>
      <c r="O6" s="18"/>
      <c r="P6" s="18">
        <f>1+P5</f>
        <v>3</v>
      </c>
    </row>
    <row r="7" ht="20.05" customHeight="1">
      <c r="B7" s="31"/>
      <c r="C7" s="17">
        <v>2429</v>
      </c>
      <c r="D7" s="18">
        <v>4755</v>
      </c>
      <c r="E7" s="18">
        <f>F7-D7-C7</f>
        <v>-2804</v>
      </c>
      <c r="F7" s="18">
        <v>4380</v>
      </c>
      <c r="G7" s="18">
        <v>-5324</v>
      </c>
      <c r="H7" s="18"/>
      <c r="I7" s="18"/>
      <c r="J7" s="18">
        <v>413</v>
      </c>
      <c r="K7" s="18">
        <f>F7+G7</f>
        <v>-944</v>
      </c>
      <c r="L7" s="18"/>
      <c r="M7" s="18"/>
      <c r="N7" s="18">
        <f>-J7+N6</f>
        <v>7037</v>
      </c>
      <c r="O7" s="18"/>
      <c r="P7" s="18">
        <f>1+P6</f>
        <v>4</v>
      </c>
    </row>
    <row r="8" ht="20.05" customHeight="1">
      <c r="B8" s="32">
        <v>2016</v>
      </c>
      <c r="C8" s="17">
        <v>1781</v>
      </c>
      <c r="D8" s="18">
        <v>4765</v>
      </c>
      <c r="E8" s="18">
        <f>F8-D8-C8</f>
        <v>-1734</v>
      </c>
      <c r="F8" s="18">
        <v>4812</v>
      </c>
      <c r="G8" s="18">
        <v>-4349</v>
      </c>
      <c r="H8" s="18"/>
      <c r="I8" s="18"/>
      <c r="J8" s="18">
        <v>524</v>
      </c>
      <c r="K8" s="18">
        <f>F8+G8</f>
        <v>463</v>
      </c>
      <c r="L8" s="18">
        <f>AVERAGE(K5:K8)</f>
        <v>1334.25</v>
      </c>
      <c r="M8" s="18"/>
      <c r="N8" s="18">
        <f>-J8+N7</f>
        <v>6513</v>
      </c>
      <c r="O8" s="18"/>
      <c r="P8" s="18">
        <f>1+P7</f>
        <v>5</v>
      </c>
    </row>
    <row r="9" ht="20.05" customHeight="1">
      <c r="B9" s="31"/>
      <c r="C9" s="17">
        <v>1681</v>
      </c>
      <c r="D9" s="18">
        <v>4821</v>
      </c>
      <c r="E9" s="18">
        <f>F9-D9-C9</f>
        <v>-1983</v>
      </c>
      <c r="F9" s="18">
        <v>4519</v>
      </c>
      <c r="G9" s="18">
        <v>-3147</v>
      </c>
      <c r="H9" s="18"/>
      <c r="I9" s="18"/>
      <c r="J9" s="18">
        <v>-1775</v>
      </c>
      <c r="K9" s="18">
        <f>F9+G9</f>
        <v>1372</v>
      </c>
      <c r="L9" s="18">
        <f>AVERAGE(K6:K9)</f>
        <v>1102</v>
      </c>
      <c r="M9" s="18"/>
      <c r="N9" s="18">
        <f>-J9+N8</f>
        <v>8288</v>
      </c>
      <c r="O9" s="18"/>
      <c r="P9" s="18">
        <f>1+P8</f>
        <v>6</v>
      </c>
    </row>
    <row r="10" ht="20.05" customHeight="1">
      <c r="B10" s="31"/>
      <c r="C10" s="17">
        <v>2889</v>
      </c>
      <c r="D10" s="18">
        <v>4605</v>
      </c>
      <c r="E10" s="18">
        <f>F10-D10-C10</f>
        <v>-2139</v>
      </c>
      <c r="F10" s="18">
        <v>5355</v>
      </c>
      <c r="G10" s="18">
        <v>-3235</v>
      </c>
      <c r="H10" s="18"/>
      <c r="I10" s="18"/>
      <c r="J10" s="18">
        <v>-1296</v>
      </c>
      <c r="K10" s="18">
        <f>F10+G10</f>
        <v>2120</v>
      </c>
      <c r="L10" s="18">
        <f>AVERAGE(K7:K10)</f>
        <v>752.75</v>
      </c>
      <c r="M10" s="18"/>
      <c r="N10" s="18">
        <f>-J10+N9</f>
        <v>9584</v>
      </c>
      <c r="O10" s="18"/>
      <c r="P10" s="18">
        <f>1+P9</f>
        <v>7</v>
      </c>
    </row>
    <row r="11" ht="20.05" customHeight="1">
      <c r="B11" s="31"/>
      <c r="C11" s="17">
        <v>2024</v>
      </c>
      <c r="D11" s="18">
        <v>8117</v>
      </c>
      <c r="E11" s="18">
        <f>F11-D11-C11</f>
        <v>-2745</v>
      </c>
      <c r="F11" s="18">
        <v>7396</v>
      </c>
      <c r="G11" s="18">
        <v>-1672</v>
      </c>
      <c r="H11" s="18"/>
      <c r="I11" s="18"/>
      <c r="J11" s="18">
        <v>-6746</v>
      </c>
      <c r="K11" s="18">
        <f>F11+G11</f>
        <v>5724</v>
      </c>
      <c r="L11" s="18">
        <f>AVERAGE(K8:K11)</f>
        <v>2419.75</v>
      </c>
      <c r="M11" s="18"/>
      <c r="N11" s="18">
        <f>-J11+N10</f>
        <v>16330</v>
      </c>
      <c r="O11" s="18"/>
      <c r="P11" s="18">
        <f>1+P10</f>
        <v>8</v>
      </c>
    </row>
    <row r="12" ht="20.05" customHeight="1">
      <c r="B12" s="32">
        <v>2017</v>
      </c>
      <c r="C12" s="17">
        <v>4090</v>
      </c>
      <c r="D12" s="18">
        <v>4519</v>
      </c>
      <c r="E12" s="18">
        <f>F12-D12-C12</f>
        <v>-436</v>
      </c>
      <c r="F12" s="18">
        <v>8173</v>
      </c>
      <c r="G12" s="18">
        <v>-3761</v>
      </c>
      <c r="H12" s="18"/>
      <c r="I12" s="18"/>
      <c r="J12" s="18">
        <v>-3246</v>
      </c>
      <c r="K12" s="18">
        <f>F12+G12</f>
        <v>4412</v>
      </c>
      <c r="L12" s="18">
        <f>AVERAGE(K9:K12)</f>
        <v>3407</v>
      </c>
      <c r="M12" s="18"/>
      <c r="N12" s="18">
        <f>-J12+N11</f>
        <v>19576</v>
      </c>
      <c r="O12" s="18"/>
      <c r="P12" s="18">
        <f>1+P11</f>
        <v>9</v>
      </c>
    </row>
    <row r="13" ht="20.05" customHeight="1">
      <c r="B13" s="31"/>
      <c r="C13" s="17">
        <v>3264</v>
      </c>
      <c r="D13" s="18">
        <v>4652</v>
      </c>
      <c r="E13" s="18">
        <f>F13-D13-C13</f>
        <v>-969</v>
      </c>
      <c r="F13" s="18">
        <v>6947</v>
      </c>
      <c r="G13" s="18">
        <v>-2878</v>
      </c>
      <c r="H13" s="18"/>
      <c r="I13" s="18"/>
      <c r="J13" s="18">
        <v>-5059</v>
      </c>
      <c r="K13" s="18">
        <f>F13+G13</f>
        <v>4069</v>
      </c>
      <c r="L13" s="18">
        <f>AVERAGE(K10:K13)</f>
        <v>4081.25</v>
      </c>
      <c r="M13" s="18"/>
      <c r="N13" s="18">
        <f>-J13+N12</f>
        <v>24635</v>
      </c>
      <c r="O13" s="18"/>
      <c r="P13" s="18">
        <f>1+P12</f>
        <v>10</v>
      </c>
    </row>
    <row r="14" ht="20.05" customHeight="1">
      <c r="B14" s="31"/>
      <c r="C14" s="17">
        <v>4085</v>
      </c>
      <c r="D14" s="18">
        <v>4880</v>
      </c>
      <c r="E14" s="18">
        <f>F14-D14-C14</f>
        <v>-1430</v>
      </c>
      <c r="F14" s="18">
        <v>7535</v>
      </c>
      <c r="G14" s="18">
        <v>-2555</v>
      </c>
      <c r="H14" s="18"/>
      <c r="I14" s="18"/>
      <c r="J14" s="18">
        <v>-4988</v>
      </c>
      <c r="K14" s="18">
        <f>F14+G14</f>
        <v>4980</v>
      </c>
      <c r="L14" s="18">
        <f>AVERAGE(K11:K14)</f>
        <v>4796.25</v>
      </c>
      <c r="M14" s="18"/>
      <c r="N14" s="18">
        <f>-J14+N13</f>
        <v>29623</v>
      </c>
      <c r="O14" s="18"/>
      <c r="P14" s="18">
        <f>1+P13</f>
        <v>11</v>
      </c>
    </row>
    <row r="15" ht="20.05" customHeight="1">
      <c r="B15" s="31"/>
      <c r="C15" s="17">
        <v>8409</v>
      </c>
      <c r="D15" s="18">
        <v>5842</v>
      </c>
      <c r="E15" s="18">
        <f>F15-D15-C15</f>
        <v>-6840</v>
      </c>
      <c r="F15" s="18">
        <v>7411</v>
      </c>
      <c r="G15" s="18">
        <v>-6536</v>
      </c>
      <c r="H15" s="18"/>
      <c r="I15" s="18"/>
      <c r="J15" s="18">
        <v>-1837</v>
      </c>
      <c r="K15" s="18">
        <f>F15+G15</f>
        <v>875</v>
      </c>
      <c r="L15" s="18">
        <f>AVERAGE(K12:K15)</f>
        <v>3584</v>
      </c>
      <c r="M15" s="18"/>
      <c r="N15" s="18">
        <f>-J15+N14</f>
        <v>31460</v>
      </c>
      <c r="O15" s="18"/>
      <c r="P15" s="18">
        <f>1+P14</f>
        <v>12</v>
      </c>
    </row>
    <row r="16" ht="20.05" customHeight="1">
      <c r="B16" s="32">
        <v>2018</v>
      </c>
      <c r="C16" s="17">
        <v>4783</v>
      </c>
      <c r="D16" s="18">
        <v>4470</v>
      </c>
      <c r="E16" s="18">
        <f>F16-D16-C16</f>
        <v>-734</v>
      </c>
      <c r="F16" s="18">
        <v>8519</v>
      </c>
      <c r="G16" s="18">
        <v>-1859</v>
      </c>
      <c r="H16" s="18"/>
      <c r="I16" s="18"/>
      <c r="J16" s="18">
        <v>-5742</v>
      </c>
      <c r="K16" s="18">
        <f>F16+G16</f>
        <v>6660</v>
      </c>
      <c r="L16" s="18">
        <f>AVERAGE(K13:K16)</f>
        <v>4146</v>
      </c>
      <c r="M16" s="18"/>
      <c r="N16" s="18">
        <f>-J16+N15</f>
        <v>37202</v>
      </c>
      <c r="O16" s="18"/>
      <c r="P16" s="18">
        <f>1+P15</f>
        <v>13</v>
      </c>
    </row>
    <row r="17" ht="20.05" customHeight="1">
      <c r="B17" s="31"/>
      <c r="C17" s="17">
        <v>3986</v>
      </c>
      <c r="D17" s="18">
        <v>4589</v>
      </c>
      <c r="E17" s="18">
        <f>F17-D17-C17</f>
        <v>-795</v>
      </c>
      <c r="F17" s="18">
        <v>7780</v>
      </c>
      <c r="G17" s="18">
        <v>-5096</v>
      </c>
      <c r="H17" s="18"/>
      <c r="I17" s="18"/>
      <c r="J17" s="18">
        <v>-3244</v>
      </c>
      <c r="K17" s="18">
        <f>F17+G17</f>
        <v>2684</v>
      </c>
      <c r="L17" s="18">
        <f>AVERAGE(K14:K17)</f>
        <v>3799.75</v>
      </c>
      <c r="M17" s="18"/>
      <c r="N17" s="18">
        <f>-J17+N16</f>
        <v>40446</v>
      </c>
      <c r="O17" s="18"/>
      <c r="P17" s="18">
        <f>1+P16</f>
        <v>14</v>
      </c>
    </row>
    <row r="18" ht="20.05" customHeight="1">
      <c r="B18" s="31"/>
      <c r="C18" s="17">
        <v>6446</v>
      </c>
      <c r="D18" s="18">
        <v>4658</v>
      </c>
      <c r="E18" s="18">
        <f>F18-D18-C18</f>
        <v>4</v>
      </c>
      <c r="F18" s="18">
        <v>11108</v>
      </c>
      <c r="G18" s="18">
        <v>-3907</v>
      </c>
      <c r="H18" s="18"/>
      <c r="I18" s="18"/>
      <c r="J18" s="18">
        <v>-4959</v>
      </c>
      <c r="K18" s="18">
        <f>F18+G18</f>
        <v>7201</v>
      </c>
      <c r="L18" s="18">
        <f>AVERAGE(K15:K18)</f>
        <v>4355</v>
      </c>
      <c r="M18" s="18"/>
      <c r="N18" s="18">
        <f>-J18+N17</f>
        <v>45405</v>
      </c>
      <c r="O18" s="18"/>
      <c r="P18" s="18">
        <f>1+P17</f>
        <v>15</v>
      </c>
    </row>
    <row r="19" ht="20.05" customHeight="1">
      <c r="B19" s="31"/>
      <c r="C19" s="17">
        <v>6206</v>
      </c>
      <c r="D19" s="18">
        <v>5028</v>
      </c>
      <c r="E19" s="18">
        <f>F19-D19-C19</f>
        <v>-2627</v>
      </c>
      <c r="F19" s="18">
        <v>8607</v>
      </c>
      <c r="G19" s="18">
        <v>-5584</v>
      </c>
      <c r="H19" s="18"/>
      <c r="I19" s="18"/>
      <c r="J19" s="18">
        <v>-5501</v>
      </c>
      <c r="K19" s="18">
        <f>F19+G19</f>
        <v>3023</v>
      </c>
      <c r="L19" s="18">
        <f>AVERAGE(K16:K19)</f>
        <v>4892</v>
      </c>
      <c r="M19" s="18"/>
      <c r="N19" s="18">
        <f>-J19+N18</f>
        <v>50906</v>
      </c>
      <c r="O19" s="18"/>
      <c r="P19" s="18">
        <f>1+P18</f>
        <v>16</v>
      </c>
    </row>
    <row r="20" ht="20.05" customHeight="1">
      <c r="B20" s="32">
        <v>2019</v>
      </c>
      <c r="C20" s="17">
        <v>2406</v>
      </c>
      <c r="D20" s="18">
        <v>4571</v>
      </c>
      <c r="E20" s="18">
        <f>F20-D20-C20</f>
        <v>1361</v>
      </c>
      <c r="F20" s="18">
        <v>8338</v>
      </c>
      <c r="G20" s="18">
        <v>-5793</v>
      </c>
      <c r="H20" s="18"/>
      <c r="I20" s="18"/>
      <c r="J20" s="18">
        <v>-1044</v>
      </c>
      <c r="K20" s="18">
        <f>F20+G20</f>
        <v>2545</v>
      </c>
      <c r="L20" s="18">
        <f>AVERAGE(K17:K20)</f>
        <v>3863.25</v>
      </c>
      <c r="M20" s="18"/>
      <c r="N20" s="18">
        <f>-J20+N19</f>
        <v>51950</v>
      </c>
      <c r="O20" s="18"/>
      <c r="P20" s="18">
        <f>1+P19</f>
        <v>17</v>
      </c>
    </row>
    <row r="21" ht="20.05" customHeight="1">
      <c r="B21" s="31"/>
      <c r="C21" s="17">
        <v>3391</v>
      </c>
      <c r="D21" s="18">
        <v>4631</v>
      </c>
      <c r="E21" s="18">
        <f>F21-D21-C21</f>
        <v>-2075</v>
      </c>
      <c r="F21" s="18">
        <v>5947</v>
      </c>
      <c r="G21" s="18">
        <v>-6877</v>
      </c>
      <c r="H21" s="18"/>
      <c r="I21" s="18"/>
      <c r="J21" s="18">
        <v>548</v>
      </c>
      <c r="K21" s="18">
        <f>F21+G21</f>
        <v>-930</v>
      </c>
      <c r="L21" s="18">
        <f>AVERAGE(K18:K21)</f>
        <v>2959.75</v>
      </c>
      <c r="M21" s="18"/>
      <c r="N21" s="18">
        <f>-J21+N20</f>
        <v>51402</v>
      </c>
      <c r="O21" s="18"/>
      <c r="P21" s="18">
        <f>1+P20</f>
        <v>18</v>
      </c>
    </row>
    <row r="22" ht="20.05" customHeight="1">
      <c r="B22" s="31"/>
      <c r="C22" s="17">
        <v>3247</v>
      </c>
      <c r="D22" s="18">
        <v>4873</v>
      </c>
      <c r="E22" s="18">
        <f>F22-D22-C22</f>
        <v>959</v>
      </c>
      <c r="F22" s="18">
        <v>9079</v>
      </c>
      <c r="G22" s="18">
        <v>-6150</v>
      </c>
      <c r="H22" s="18"/>
      <c r="I22" s="18"/>
      <c r="J22" s="18">
        <v>-1666</v>
      </c>
      <c r="K22" s="18">
        <f>F22+G22</f>
        <v>2929</v>
      </c>
      <c r="L22" s="18">
        <f>AVERAGE(K19:K22)</f>
        <v>1891.75</v>
      </c>
      <c r="M22" s="18"/>
      <c r="N22" s="18">
        <f>-J22+N21</f>
        <v>53068</v>
      </c>
      <c r="O22" s="18"/>
      <c r="P22" s="18">
        <f>1+P21</f>
        <v>19</v>
      </c>
    </row>
    <row r="23" ht="20.05" customHeight="1">
      <c r="B23" s="31"/>
      <c r="C23" s="17">
        <v>5730</v>
      </c>
      <c r="D23" s="18">
        <v>4923</v>
      </c>
      <c r="E23" s="18">
        <f>F23-D23-C23</f>
        <v>-4301</v>
      </c>
      <c r="F23" s="18">
        <v>6352</v>
      </c>
      <c r="G23" s="18">
        <v>-6150</v>
      </c>
      <c r="H23" s="18"/>
      <c r="I23" s="18"/>
      <c r="J23" s="18">
        <v>-4456</v>
      </c>
      <c r="K23" s="18">
        <f>F23+G23</f>
        <v>202</v>
      </c>
      <c r="L23" s="18">
        <f>AVERAGE(K20:K23)</f>
        <v>1186.5</v>
      </c>
      <c r="M23" s="18"/>
      <c r="N23" s="18">
        <f>-J23+N22</f>
        <v>57524</v>
      </c>
      <c r="O23" s="18"/>
      <c r="P23" s="18">
        <f>1+P22</f>
        <v>20</v>
      </c>
    </row>
    <row r="24" ht="20.05" customHeight="1">
      <c r="B24" s="32">
        <v>2020</v>
      </c>
      <c r="C24" s="17">
        <v>-770</v>
      </c>
      <c r="D24" s="18">
        <v>5819</v>
      </c>
      <c r="E24" s="18">
        <f>F24-D24-C24</f>
        <v>1225</v>
      </c>
      <c r="F24" s="18">
        <v>6274</v>
      </c>
      <c r="G24" s="18">
        <v>-6367</v>
      </c>
      <c r="H24" s="18"/>
      <c r="I24" s="18"/>
      <c r="J24" s="18">
        <v>8785</v>
      </c>
      <c r="K24" s="18">
        <f>F24+G24</f>
        <v>-93</v>
      </c>
      <c r="L24" s="18">
        <f>AVERAGE(K21:K24)</f>
        <v>527</v>
      </c>
      <c r="M24" s="18"/>
      <c r="N24" s="18">
        <f>-J24+N23</f>
        <v>48739</v>
      </c>
      <c r="O24" s="18"/>
      <c r="P24" s="18">
        <f>1+P23</f>
        <v>21</v>
      </c>
    </row>
    <row r="25" ht="20.05" customHeight="1">
      <c r="B25" s="31"/>
      <c r="C25" s="17">
        <v>-1169</v>
      </c>
      <c r="D25" s="18">
        <v>4916</v>
      </c>
      <c r="E25" s="18">
        <f>F25-D25-C25</f>
        <v>-3747</v>
      </c>
      <c r="F25" s="18">
        <v>0</v>
      </c>
      <c r="G25" s="18">
        <v>-5081</v>
      </c>
      <c r="H25" s="18"/>
      <c r="I25" s="18"/>
      <c r="J25" s="18">
        <f>15062-J24</f>
        <v>6277</v>
      </c>
      <c r="K25" s="18">
        <f>F25+G25</f>
        <v>-5081</v>
      </c>
      <c r="L25" s="18">
        <f>AVERAGE(K22:K25)</f>
        <v>-510.75</v>
      </c>
      <c r="M25" s="18"/>
      <c r="N25" s="18">
        <f>-J25+N24</f>
        <v>42462</v>
      </c>
      <c r="O25" s="18"/>
      <c r="P25" s="18">
        <f>1+P24</f>
        <v>22</v>
      </c>
    </row>
    <row r="26" ht="20.05" customHeight="1">
      <c r="B26" s="31"/>
      <c r="C26" s="17">
        <v>-709</v>
      </c>
      <c r="D26" s="18">
        <v>4983</v>
      </c>
      <c r="E26" s="18">
        <f>F26-D26-C26</f>
        <v>115</v>
      </c>
      <c r="F26" s="18">
        <v>4389</v>
      </c>
      <c r="G26" s="18">
        <f>-15157-G25-G24</f>
        <v>-3709</v>
      </c>
      <c r="H26" s="18"/>
      <c r="I26" s="18"/>
      <c r="J26" s="18">
        <f>10568-J25-J24</f>
        <v>-4494</v>
      </c>
      <c r="K26" s="18">
        <f>F26+G26</f>
        <v>680</v>
      </c>
      <c r="L26" s="18">
        <f>AVERAGE(K23:K26)</f>
        <v>-1073</v>
      </c>
      <c r="M26" s="18"/>
      <c r="N26" s="18">
        <f>-J26+N25</f>
        <v>46956</v>
      </c>
      <c r="O26" s="18"/>
      <c r="P26" s="18">
        <f>1+P25</f>
        <v>23</v>
      </c>
    </row>
    <row r="27" ht="20.05" customHeight="1">
      <c r="B27" s="31"/>
      <c r="C27" s="17">
        <v>-20603</v>
      </c>
      <c r="D27" s="18">
        <v>21643</v>
      </c>
      <c r="E27" s="18">
        <f>F27-D27-C27</f>
        <v>2965</v>
      </c>
      <c r="F27" s="18">
        <v>4005</v>
      </c>
      <c r="G27" s="18">
        <v>-3302</v>
      </c>
      <c r="H27" s="18"/>
      <c r="I27" s="18"/>
      <c r="J27" s="18">
        <v>-5283</v>
      </c>
      <c r="K27" s="18">
        <f>F27+G27</f>
        <v>703</v>
      </c>
      <c r="L27" s="18">
        <f>AVERAGE(K24:K27)</f>
        <v>-947.75</v>
      </c>
      <c r="M27" s="18"/>
      <c r="N27" s="18">
        <f>-J27+N26</f>
        <v>52239</v>
      </c>
      <c r="O27" s="18"/>
      <c r="P27" s="18">
        <f>1+P26</f>
        <v>24</v>
      </c>
    </row>
    <row r="28" ht="20.05" customHeight="1">
      <c r="B28" s="32">
        <v>2021</v>
      </c>
      <c r="C28" s="17">
        <v>2796</v>
      </c>
      <c r="D28" s="18">
        <v>5004</v>
      </c>
      <c r="E28" s="18">
        <f>F28-D28-C28</f>
        <v>1464</v>
      </c>
      <c r="F28" s="18">
        <v>9264</v>
      </c>
      <c r="G28" s="18">
        <v>-2355</v>
      </c>
      <c r="H28" s="18">
        <v>-3619.333333333330</v>
      </c>
      <c r="I28" s="18">
        <v>-3868.666666666670</v>
      </c>
      <c r="J28" s="18">
        <v>-7785</v>
      </c>
      <c r="K28" s="18">
        <f>F28+G28</f>
        <v>6909</v>
      </c>
      <c r="L28" s="18">
        <f>AVERAGE(K25:K28)</f>
        <v>802.75</v>
      </c>
      <c r="M28" s="18"/>
      <c r="N28" s="18">
        <f>-J28+N27</f>
        <v>60024</v>
      </c>
      <c r="O28" s="18"/>
      <c r="P28" s="18">
        <f>1+P27</f>
        <v>25</v>
      </c>
    </row>
    <row r="29" ht="20.05" customHeight="1">
      <c r="B29" s="31"/>
      <c r="C29" s="17">
        <v>4781</v>
      </c>
      <c r="D29" s="18">
        <v>4952</v>
      </c>
      <c r="E29" s="18">
        <f>F29-D29-C29</f>
        <v>-83</v>
      </c>
      <c r="F29" s="18">
        <v>9650</v>
      </c>
      <c r="G29" s="18">
        <v>-2716</v>
      </c>
      <c r="H29" s="18">
        <v>-3619.333333333330</v>
      </c>
      <c r="I29" s="18">
        <v>-3868.666666666670</v>
      </c>
      <c r="J29" s="18">
        <v>-7022</v>
      </c>
      <c r="K29" s="18">
        <f>F29+G29</f>
        <v>6934</v>
      </c>
      <c r="L29" s="18">
        <f>AVERAGE(K26:K29)</f>
        <v>3806.5</v>
      </c>
      <c r="M29" s="18"/>
      <c r="N29" s="18">
        <f>-J29+N28</f>
        <v>67046</v>
      </c>
      <c r="O29" s="18"/>
      <c r="P29" s="18">
        <f>1+P28</f>
        <v>26</v>
      </c>
    </row>
    <row r="30" ht="20.05" customHeight="1">
      <c r="B30" s="31"/>
      <c r="C30" s="17">
        <f>14519-C29-C28</f>
        <v>6942</v>
      </c>
      <c r="D30" s="18">
        <f>14946-D29-D28</f>
        <v>4990</v>
      </c>
      <c r="E30" s="18">
        <f>F30-D30-C30</f>
        <v>159</v>
      </c>
      <c r="F30" s="18">
        <f>31005-F29-F28</f>
        <v>12091</v>
      </c>
      <c r="G30" s="18">
        <f>-8125-G29-G28</f>
        <v>-3054</v>
      </c>
      <c r="H30" s="18">
        <v>-3619.333333333330</v>
      </c>
      <c r="I30" s="18">
        <v>-3868.666666666670</v>
      </c>
      <c r="J30" s="18">
        <f>-22464-J29-J28</f>
        <v>-7657</v>
      </c>
      <c r="K30" s="18">
        <f>F30+G30</f>
        <v>9037</v>
      </c>
      <c r="L30" s="18">
        <f>AVERAGE(K27:K30)</f>
        <v>5895.75</v>
      </c>
      <c r="M30" s="18"/>
      <c r="N30" s="18">
        <f>-J30+N29</f>
        <v>74703</v>
      </c>
      <c r="O30" s="18"/>
      <c r="P30" s="18">
        <f>1+P29</f>
        <v>27</v>
      </c>
    </row>
    <row r="31" ht="20.05" customHeight="1">
      <c r="B31" s="31"/>
      <c r="C31" s="17">
        <f>23598-C30-C29-C28</f>
        <v>9079</v>
      </c>
      <c r="D31" s="18">
        <f>20607+303+754+50-668-D30-D29-D28</f>
        <v>6100</v>
      </c>
      <c r="E31" s="18">
        <f>F31-D31-C31</f>
        <v>1945</v>
      </c>
      <c r="F31" s="18">
        <f>48129-F30-F29-F28</f>
        <v>17124</v>
      </c>
      <c r="G31" s="18">
        <f>-10235-G30-G29-G28</f>
        <v>-2110</v>
      </c>
      <c r="H31" s="18">
        <f>-35423-H30-H29-H28-I31-I30-I29-I28</f>
        <v>-8826.000000000009</v>
      </c>
      <c r="I31" s="18">
        <f>-14924-224-436-155-I30-I29-I28</f>
        <v>-4132.999999999990</v>
      </c>
      <c r="J31" s="18">
        <f>-35423-J30-J29-J28</f>
        <v>-12959</v>
      </c>
      <c r="K31" s="18">
        <f>F31+G31</f>
        <v>15014</v>
      </c>
      <c r="L31" s="18">
        <f>AVERAGE(K28:K31)</f>
        <v>9473.5</v>
      </c>
      <c r="M31" s="23"/>
      <c r="N31" s="18">
        <f>-J31+N30</f>
        <v>87662</v>
      </c>
      <c r="O31" s="23"/>
      <c r="P31" s="18">
        <f>1+P30</f>
        <v>28</v>
      </c>
    </row>
    <row r="32" ht="20.05" customHeight="1">
      <c r="B32" s="32">
        <v>2022</v>
      </c>
      <c r="C32" s="17">
        <v>5750</v>
      </c>
      <c r="D32" s="18">
        <v>8883</v>
      </c>
      <c r="E32" s="18">
        <f>F32-D32-C32</f>
        <v>155</v>
      </c>
      <c r="F32" s="18">
        <v>14788</v>
      </c>
      <c r="G32" s="18">
        <v>-3945</v>
      </c>
      <c r="H32" s="18">
        <f>1366-2098</f>
        <v>-732</v>
      </c>
      <c r="I32" s="18">
        <v>-5981</v>
      </c>
      <c r="J32" s="18">
        <f>H32+I32</f>
        <v>-6713</v>
      </c>
      <c r="K32" s="18">
        <f>F32+G32</f>
        <v>10843</v>
      </c>
      <c r="L32" s="18">
        <f>AVERAGE(K29:K32)</f>
        <v>10457</v>
      </c>
      <c r="M32" s="18">
        <v>15319.3833166314</v>
      </c>
      <c r="N32" s="18">
        <f>-J32+N31</f>
        <v>94375</v>
      </c>
      <c r="O32" s="18">
        <v>122418.320025503</v>
      </c>
      <c r="P32" s="18">
        <f>1+P31</f>
        <v>29</v>
      </c>
    </row>
    <row r="33" ht="20.05" customHeight="1">
      <c r="B33" s="31"/>
      <c r="C33" s="17"/>
      <c r="D33" s="18"/>
      <c r="E33" s="18"/>
      <c r="F33" s="18"/>
      <c r="G33" s="18"/>
      <c r="H33" s="18"/>
      <c r="I33" s="18"/>
      <c r="J33" s="18"/>
      <c r="K33" s="18"/>
      <c r="L33" s="23"/>
      <c r="M33" s="18">
        <f>SUM('Model'!F9:F10)</f>
        <v>14128.355756709</v>
      </c>
      <c r="N33" s="23"/>
      <c r="O33" s="18">
        <f>'Model'!F33</f>
        <v>148595.338651842</v>
      </c>
      <c r="P33" s="18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8.41406" style="36" customWidth="1"/>
    <col min="3" max="11" width="11.1484" style="36" customWidth="1"/>
    <col min="12" max="16384" width="16.3516" style="36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54</v>
      </c>
      <c r="F3" t="s" s="5">
        <v>24</v>
      </c>
      <c r="G3" t="s" s="5">
        <v>11</v>
      </c>
      <c r="H3" t="s" s="5">
        <v>26</v>
      </c>
      <c r="I3" t="s" s="5">
        <v>27</v>
      </c>
      <c r="J3" t="s" s="5">
        <v>55</v>
      </c>
      <c r="K3" t="s" s="5">
        <v>35</v>
      </c>
    </row>
    <row r="4" ht="20.25" customHeight="1">
      <c r="B4" s="27">
        <v>2015</v>
      </c>
      <c r="C4" s="35">
        <v>5184</v>
      </c>
      <c r="D4" s="30">
        <v>342961</v>
      </c>
      <c r="E4" s="30">
        <f>D4-C4</f>
        <v>337777</v>
      </c>
      <c r="F4" s="30"/>
      <c r="G4" s="30">
        <v>165515</v>
      </c>
      <c r="H4" s="30">
        <v>177446</v>
      </c>
      <c r="I4" s="30">
        <f>G4+H4-C4-E4</f>
        <v>0</v>
      </c>
      <c r="J4" s="30">
        <f>C4-G4</f>
        <v>-160331</v>
      </c>
      <c r="K4" s="30"/>
    </row>
    <row r="5" ht="20.05" customHeight="1">
      <c r="B5" s="31"/>
      <c r="C5" s="17">
        <v>4343</v>
      </c>
      <c r="D5" s="18">
        <v>348260</v>
      </c>
      <c r="E5" s="18">
        <f>D5-C5</f>
        <v>343917</v>
      </c>
      <c r="F5" s="18"/>
      <c r="G5" s="18">
        <v>169262</v>
      </c>
      <c r="H5" s="18">
        <v>178998</v>
      </c>
      <c r="I5" s="18">
        <f>G5+H5-C5-E5</f>
        <v>0</v>
      </c>
      <c r="J5" s="18">
        <f>C5-G5</f>
        <v>-164919</v>
      </c>
      <c r="K5" s="18"/>
    </row>
    <row r="6" ht="20.05" customHeight="1">
      <c r="B6" s="31"/>
      <c r="C6" s="17">
        <v>4296</v>
      </c>
      <c r="D6" s="18">
        <v>340662</v>
      </c>
      <c r="E6" s="18">
        <f>D6-C6</f>
        <v>336366</v>
      </c>
      <c r="F6" s="18"/>
      <c r="G6" s="18">
        <v>163823</v>
      </c>
      <c r="H6" s="18">
        <v>176839</v>
      </c>
      <c r="I6" s="18">
        <f>G6+H6-C6-E6</f>
        <v>0</v>
      </c>
      <c r="J6" s="18">
        <f>C6-G6</f>
        <v>-159527</v>
      </c>
      <c r="K6" s="18"/>
    </row>
    <row r="7" ht="20.05" customHeight="1">
      <c r="B7" s="31"/>
      <c r="C7" s="17">
        <v>3705</v>
      </c>
      <c r="D7" s="18">
        <v>336758</v>
      </c>
      <c r="E7" s="18">
        <f>D7-C7</f>
        <v>333053</v>
      </c>
      <c r="F7" s="18"/>
      <c r="G7" s="18">
        <v>159948</v>
      </c>
      <c r="H7" s="18">
        <v>176810</v>
      </c>
      <c r="I7" s="18">
        <f>G7+H7-C7-E7</f>
        <v>0</v>
      </c>
      <c r="J7" s="18">
        <f>C7-G7</f>
        <v>-156243</v>
      </c>
      <c r="K7" s="18"/>
    </row>
    <row r="8" ht="20.05" customHeight="1">
      <c r="B8" s="32">
        <v>2016</v>
      </c>
      <c r="C8" s="17">
        <v>4846</v>
      </c>
      <c r="D8" s="18">
        <v>342789</v>
      </c>
      <c r="E8" s="18">
        <f>D8-C8</f>
        <v>337943</v>
      </c>
      <c r="F8" s="18"/>
      <c r="G8" s="18">
        <v>164291</v>
      </c>
      <c r="H8" s="18">
        <v>178498</v>
      </c>
      <c r="I8" s="18">
        <f>G8+H8-C8-E8</f>
        <v>0</v>
      </c>
      <c r="J8" s="18">
        <f>C8-G8</f>
        <v>-159445</v>
      </c>
      <c r="K8" s="18"/>
    </row>
    <row r="9" ht="20.05" customHeight="1">
      <c r="B9" s="31"/>
      <c r="C9" s="17">
        <v>4358</v>
      </c>
      <c r="D9" s="18">
        <v>342473</v>
      </c>
      <c r="E9" s="18">
        <f>D9-C9</f>
        <v>338115</v>
      </c>
      <c r="F9" s="18"/>
      <c r="G9" s="18">
        <v>165598</v>
      </c>
      <c r="H9" s="18">
        <v>176875</v>
      </c>
      <c r="I9" s="18">
        <f>G9+H9-C9-E9</f>
        <v>0</v>
      </c>
      <c r="J9" s="18">
        <f>C9-G9</f>
        <v>-161240</v>
      </c>
      <c r="K9" s="18"/>
    </row>
    <row r="10" ht="20.05" customHeight="1">
      <c r="B10" s="31"/>
      <c r="C10" s="17">
        <v>5093</v>
      </c>
      <c r="D10" s="18">
        <v>339386</v>
      </c>
      <c r="E10" s="18">
        <f>D10-C10</f>
        <v>334293</v>
      </c>
      <c r="F10" s="18"/>
      <c r="G10" s="18">
        <v>162376</v>
      </c>
      <c r="H10" s="18">
        <v>177010</v>
      </c>
      <c r="I10" s="18">
        <f>G10+H10-C10-E10</f>
        <v>0</v>
      </c>
      <c r="J10" s="18">
        <f>C10-G10</f>
        <v>-157283</v>
      </c>
      <c r="K10" s="18"/>
    </row>
    <row r="11" ht="20.05" customHeight="1">
      <c r="B11" s="31"/>
      <c r="C11" s="17">
        <v>3657</v>
      </c>
      <c r="D11" s="18">
        <v>330314</v>
      </c>
      <c r="E11" s="18">
        <f>D11-C11</f>
        <v>326657</v>
      </c>
      <c r="F11" s="18"/>
      <c r="G11" s="18">
        <v>156484</v>
      </c>
      <c r="H11" s="18">
        <v>173830</v>
      </c>
      <c r="I11" s="18">
        <f>G11+H11-C11-E11</f>
        <v>0</v>
      </c>
      <c r="J11" s="18">
        <f>C11-G11</f>
        <v>-152827</v>
      </c>
      <c r="K11" s="18"/>
    </row>
    <row r="12" ht="20.05" customHeight="1">
      <c r="B12" s="32">
        <v>2017</v>
      </c>
      <c r="C12" s="17">
        <v>4897</v>
      </c>
      <c r="D12" s="18">
        <v>344209</v>
      </c>
      <c r="E12" s="18">
        <f>D12-C12</f>
        <v>339312</v>
      </c>
      <c r="F12" s="18"/>
      <c r="G12" s="18">
        <v>160438</v>
      </c>
      <c r="H12" s="18">
        <v>183771</v>
      </c>
      <c r="I12" s="18">
        <f>G12+H12-C12-E12</f>
        <v>0</v>
      </c>
      <c r="J12" s="18">
        <f>C12-G12</f>
        <v>-155541</v>
      </c>
      <c r="K12" s="18"/>
    </row>
    <row r="13" ht="20.05" customHeight="1">
      <c r="B13" s="31"/>
      <c r="C13" s="17">
        <v>4042</v>
      </c>
      <c r="D13" s="18">
        <v>343012</v>
      </c>
      <c r="E13" s="18">
        <f>D13-C13</f>
        <v>338970</v>
      </c>
      <c r="F13" s="18"/>
      <c r="G13" s="18">
        <v>157174</v>
      </c>
      <c r="H13" s="18">
        <v>185838</v>
      </c>
      <c r="I13" s="18">
        <f>G13+H13-C13-E13</f>
        <v>0</v>
      </c>
      <c r="J13" s="18">
        <f>C13-G13</f>
        <v>-153132</v>
      </c>
      <c r="K13" s="18"/>
    </row>
    <row r="14" ht="20.05" customHeight="1">
      <c r="B14" s="31"/>
      <c r="C14" s="17">
        <v>4266</v>
      </c>
      <c r="D14" s="18">
        <v>349427</v>
      </c>
      <c r="E14" s="18">
        <f>D14-C14</f>
        <v>345161</v>
      </c>
      <c r="F14" s="18"/>
      <c r="G14" s="18">
        <v>160229</v>
      </c>
      <c r="H14" s="18">
        <v>189198</v>
      </c>
      <c r="I14" s="18">
        <f>G14+H14-C14-E14</f>
        <v>0</v>
      </c>
      <c r="J14" s="18">
        <f>C14-G14</f>
        <v>-155963</v>
      </c>
      <c r="K14" s="18"/>
    </row>
    <row r="15" ht="20.05" customHeight="1">
      <c r="B15" s="31"/>
      <c r="C15" s="17">
        <v>3177</v>
      </c>
      <c r="D15" s="18">
        <v>348691</v>
      </c>
      <c r="E15" s="18">
        <f>D15-C15</f>
        <v>345514</v>
      </c>
      <c r="F15" s="18"/>
      <c r="G15" s="18">
        <v>154191</v>
      </c>
      <c r="H15" s="18">
        <v>194500</v>
      </c>
      <c r="I15" s="18">
        <f>G15+H15-C15-E15</f>
        <v>0</v>
      </c>
      <c r="J15" s="18">
        <f>C15-G15</f>
        <v>-151014</v>
      </c>
      <c r="K15" s="18"/>
    </row>
    <row r="16" ht="20.05" customHeight="1">
      <c r="B16" s="32">
        <v>2018</v>
      </c>
      <c r="C16" s="17">
        <v>4125</v>
      </c>
      <c r="D16" s="18">
        <v>348826</v>
      </c>
      <c r="E16" s="18">
        <f>D16-C16</f>
        <v>344701</v>
      </c>
      <c r="F16" s="18"/>
      <c r="G16" s="18">
        <v>153915</v>
      </c>
      <c r="H16" s="18">
        <v>194911</v>
      </c>
      <c r="I16" s="18">
        <f>G16+H16-C16-E16</f>
        <v>0</v>
      </c>
      <c r="J16" s="18">
        <f>C16-G16</f>
        <v>-149790</v>
      </c>
      <c r="K16" s="18"/>
    </row>
    <row r="17" ht="20.05" customHeight="1">
      <c r="B17" s="31"/>
      <c r="C17" s="17">
        <v>3430</v>
      </c>
      <c r="D17" s="18">
        <v>348790</v>
      </c>
      <c r="E17" s="18">
        <f>D17-C17</f>
        <v>345360</v>
      </c>
      <c r="F17" s="18"/>
      <c r="G17" s="18">
        <v>155257</v>
      </c>
      <c r="H17" s="18">
        <v>193533</v>
      </c>
      <c r="I17" s="18">
        <f>G17+H17-C17-E17</f>
        <v>0</v>
      </c>
      <c r="J17" s="18">
        <f>C17-G17</f>
        <v>-151827</v>
      </c>
      <c r="K17" s="18"/>
    </row>
    <row r="18" ht="20.05" customHeight="1">
      <c r="B18" s="31"/>
      <c r="C18" s="17">
        <v>5669</v>
      </c>
      <c r="D18" s="18">
        <v>354628</v>
      </c>
      <c r="E18" s="18">
        <f>D18-C18</f>
        <v>348959</v>
      </c>
      <c r="F18" s="18"/>
      <c r="G18" s="18">
        <v>157797</v>
      </c>
      <c r="H18" s="18">
        <v>196831</v>
      </c>
      <c r="I18" s="18">
        <f>G18+H18-C18-E18</f>
        <v>0</v>
      </c>
      <c r="J18" s="18">
        <f>C18-G18</f>
        <v>-152128</v>
      </c>
      <c r="K18" s="18"/>
    </row>
    <row r="19" ht="20.05" customHeight="1">
      <c r="B19" s="31"/>
      <c r="C19" s="17">
        <v>3042</v>
      </c>
      <c r="D19" s="18">
        <v>346196</v>
      </c>
      <c r="E19" s="18">
        <f>D19-C19</f>
        <v>343154</v>
      </c>
      <c r="F19" s="18"/>
      <c r="G19" s="18">
        <v>147668</v>
      </c>
      <c r="H19" s="18">
        <v>198528</v>
      </c>
      <c r="I19" s="18">
        <f>G19+H19-C19-E19</f>
        <v>0</v>
      </c>
      <c r="J19" s="18">
        <f>C19-G19</f>
        <v>-144626</v>
      </c>
      <c r="K19" s="18"/>
    </row>
    <row r="20" ht="20.05" customHeight="1">
      <c r="B20" s="32">
        <v>2019</v>
      </c>
      <c r="C20" s="17">
        <v>4586</v>
      </c>
      <c r="D20" s="18">
        <v>356189</v>
      </c>
      <c r="E20" s="18">
        <f>D20-C20</f>
        <v>351603</v>
      </c>
      <c r="F20" s="18"/>
      <c r="G20" s="18">
        <v>158168</v>
      </c>
      <c r="H20" s="18">
        <v>198021</v>
      </c>
      <c r="I20" s="18">
        <f>G20+H20-C20-E20</f>
        <v>0</v>
      </c>
      <c r="J20" s="18">
        <f>C20-G20</f>
        <v>-153582</v>
      </c>
      <c r="K20" s="18"/>
    </row>
    <row r="21" ht="20.05" customHeight="1">
      <c r="B21" s="31"/>
      <c r="C21" s="17">
        <v>4213</v>
      </c>
      <c r="D21" s="18">
        <v>360729</v>
      </c>
      <c r="E21" s="18">
        <f>D21-C21</f>
        <v>356516</v>
      </c>
      <c r="F21" s="18"/>
      <c r="G21" s="18">
        <v>162264</v>
      </c>
      <c r="H21" s="18">
        <v>198465</v>
      </c>
      <c r="I21" s="18">
        <f>G21+H21-C21-E21</f>
        <v>0</v>
      </c>
      <c r="J21" s="18">
        <f>C21-G21</f>
        <v>-158051</v>
      </c>
      <c r="K21" s="18"/>
    </row>
    <row r="22" ht="20.05" customHeight="1">
      <c r="B22" s="31"/>
      <c r="C22" s="17">
        <v>5351</v>
      </c>
      <c r="D22" s="18">
        <v>359361</v>
      </c>
      <c r="E22" s="18">
        <f>D22-C22</f>
        <v>354010</v>
      </c>
      <c r="F22" s="18"/>
      <c r="G22" s="18">
        <v>162252</v>
      </c>
      <c r="H22" s="18">
        <v>197109</v>
      </c>
      <c r="I22" s="18">
        <f>G22+H22-C22-E22</f>
        <v>0</v>
      </c>
      <c r="J22" s="18">
        <f>C22-G22</f>
        <v>-156901</v>
      </c>
      <c r="K22" s="18"/>
    </row>
    <row r="23" ht="20.05" customHeight="1">
      <c r="B23" s="31"/>
      <c r="C23" s="17">
        <v>3089</v>
      </c>
      <c r="D23" s="18">
        <v>362597</v>
      </c>
      <c r="E23" s="18">
        <f>D23-C23</f>
        <v>359508</v>
      </c>
      <c r="F23" s="18">
        <f>233684</f>
        <v>233684</v>
      </c>
      <c r="G23" s="18">
        <v>163659</v>
      </c>
      <c r="H23" s="18">
        <v>198938</v>
      </c>
      <c r="I23" s="18">
        <f>G23+H23-C23-E23</f>
        <v>0</v>
      </c>
      <c r="J23" s="18">
        <f>C23-G23</f>
        <v>-160570</v>
      </c>
      <c r="K23" s="18"/>
    </row>
    <row r="24" ht="20.05" customHeight="1">
      <c r="B24" s="32">
        <v>2020</v>
      </c>
      <c r="C24" s="17">
        <v>11412</v>
      </c>
      <c r="D24" s="18">
        <v>355804</v>
      </c>
      <c r="E24" s="18">
        <f>D24-C24</f>
        <v>344392</v>
      </c>
      <c r="F24" s="18">
        <f>F23+'Cashflow'!D24</f>
        <v>239503</v>
      </c>
      <c r="G24" s="18">
        <v>167061</v>
      </c>
      <c r="H24" s="18">
        <v>188743</v>
      </c>
      <c r="I24" s="18">
        <f>G24+H24-C24-E24</f>
        <v>0</v>
      </c>
      <c r="J24" s="18">
        <f>C24-G24</f>
        <v>-155649</v>
      </c>
      <c r="K24" s="18"/>
    </row>
    <row r="25" ht="20.05" customHeight="1">
      <c r="B25" s="31"/>
      <c r="C25" s="17">
        <v>12576</v>
      </c>
      <c r="D25" s="18">
        <v>361495</v>
      </c>
      <c r="E25" s="18">
        <f>D25-C25</f>
        <v>348919</v>
      </c>
      <c r="F25" s="18">
        <f>F24+'Cashflow'!D25</f>
        <v>244419</v>
      </c>
      <c r="G25" s="18">
        <v>174342</v>
      </c>
      <c r="H25" s="18">
        <v>187153</v>
      </c>
      <c r="I25" s="18">
        <f>G25+H25-C25-E25</f>
        <v>0</v>
      </c>
      <c r="J25" s="18">
        <f>C25-G25</f>
        <v>-161766</v>
      </c>
      <c r="K25" s="18"/>
    </row>
    <row r="26" ht="20.05" customHeight="1">
      <c r="B26" s="31"/>
      <c r="C26" s="17">
        <v>8832</v>
      </c>
      <c r="D26" s="18">
        <v>358043</v>
      </c>
      <c r="E26" s="18">
        <f>D26-C26</f>
        <v>349211</v>
      </c>
      <c r="F26" s="18">
        <f>F25+'Cashflow'!D26</f>
        <v>249402</v>
      </c>
      <c r="G26" s="18">
        <v>173431</v>
      </c>
      <c r="H26" s="18">
        <v>184612</v>
      </c>
      <c r="I26" s="18">
        <f>G26+H26-C26-E26</f>
        <v>0</v>
      </c>
      <c r="J26" s="18">
        <f>C26-G26</f>
        <v>-164599</v>
      </c>
      <c r="K26" s="18"/>
    </row>
    <row r="27" ht="20.05" customHeight="1">
      <c r="B27" s="31"/>
      <c r="C27" s="17">
        <v>4364</v>
      </c>
      <c r="D27" s="18">
        <v>332750</v>
      </c>
      <c r="E27" s="18">
        <f>D27-C27</f>
        <v>328386</v>
      </c>
      <c r="F27" s="18">
        <f>F26+'Cashflow'!D27</f>
        <v>271045</v>
      </c>
      <c r="G27" s="18">
        <v>168620</v>
      </c>
      <c r="H27" s="18">
        <v>164130</v>
      </c>
      <c r="I27" s="18">
        <f>G27+H27-C27-E27</f>
        <v>0</v>
      </c>
      <c r="J27" s="18">
        <f>C27-G27</f>
        <v>-164256</v>
      </c>
      <c r="K27" s="33"/>
    </row>
    <row r="28" ht="20.05" customHeight="1">
      <c r="B28" s="32">
        <v>2021</v>
      </c>
      <c r="C28" s="17">
        <v>3515</v>
      </c>
      <c r="D28" s="18">
        <v>333770</v>
      </c>
      <c r="E28" s="18">
        <f>D28-C28</f>
        <v>330255</v>
      </c>
      <c r="F28" s="18">
        <f>F27+'Cashflow'!D28</f>
        <v>276049</v>
      </c>
      <c r="G28" s="18">
        <v>169669</v>
      </c>
      <c r="H28" s="18">
        <v>164101</v>
      </c>
      <c r="I28" s="18">
        <f>G28+H28-C28-E28</f>
        <v>0</v>
      </c>
      <c r="J28" s="18">
        <f>C28-G28</f>
        <v>-166154</v>
      </c>
      <c r="K28" s="18"/>
    </row>
    <row r="29" ht="20.05" customHeight="1">
      <c r="B29" s="31"/>
      <c r="C29" s="17">
        <v>3465</v>
      </c>
      <c r="D29" s="18">
        <v>337289</v>
      </c>
      <c r="E29" s="18">
        <f>D29-C29</f>
        <v>333824</v>
      </c>
      <c r="F29" s="18">
        <f>F28+'Cashflow'!D29</f>
        <v>281001</v>
      </c>
      <c r="G29" s="18">
        <v>171733</v>
      </c>
      <c r="H29" s="18">
        <v>165556</v>
      </c>
      <c r="I29" s="18">
        <f>G29+H29-C29-E29</f>
        <v>0</v>
      </c>
      <c r="J29" s="18">
        <f>C29-G29</f>
        <v>-168268</v>
      </c>
      <c r="K29" s="18"/>
    </row>
    <row r="30" ht="20.05" customHeight="1">
      <c r="B30" s="31"/>
      <c r="C30" s="17">
        <v>4768</v>
      </c>
      <c r="D30" s="18">
        <v>336688</v>
      </c>
      <c r="E30" s="18">
        <f>D30-C30</f>
        <v>331920</v>
      </c>
      <c r="F30" s="18">
        <f>F29+'Cashflow'!D30</f>
        <v>285991</v>
      </c>
      <c r="G30" s="18">
        <v>169182</v>
      </c>
      <c r="H30" s="18">
        <v>167506</v>
      </c>
      <c r="I30" s="18">
        <f>G30+H30-C30-E30</f>
        <v>0</v>
      </c>
      <c r="J30" s="18">
        <f>C30-G30</f>
        <v>-164414</v>
      </c>
      <c r="K30" s="18"/>
    </row>
    <row r="31" ht="20.05" customHeight="1">
      <c r="B31" s="31"/>
      <c r="C31" s="17">
        <v>6802</v>
      </c>
      <c r="D31" s="18">
        <v>338923</v>
      </c>
      <c r="E31" s="18">
        <f>D31-C31</f>
        <v>332121</v>
      </c>
      <c r="F31" s="18">
        <f>F30+'Cashflow'!D31</f>
        <v>292091</v>
      </c>
      <c r="G31" s="18">
        <v>163240</v>
      </c>
      <c r="H31" s="18">
        <f>D31-G31</f>
        <v>175683</v>
      </c>
      <c r="I31" s="18">
        <f>G31+H31-C31-E31</f>
        <v>0</v>
      </c>
      <c r="J31" s="18">
        <f>C31-G31</f>
        <v>-156438</v>
      </c>
      <c r="K31" s="18"/>
    </row>
    <row r="32" ht="20.05" customHeight="1">
      <c r="B32" s="32">
        <v>2022</v>
      </c>
      <c r="C32" s="17">
        <v>11074</v>
      </c>
      <c r="D32" s="18">
        <v>354771</v>
      </c>
      <c r="E32" s="18">
        <f>D32-C32</f>
        <v>343697</v>
      </c>
      <c r="F32" s="18">
        <f>F31+'Cashflow'!D32</f>
        <v>300974</v>
      </c>
      <c r="G32" s="18">
        <v>178245</v>
      </c>
      <c r="H32" s="18">
        <f>D32-G32</f>
        <v>176526</v>
      </c>
      <c r="I32" s="18">
        <f>G32+H32-C32-E32</f>
        <v>0</v>
      </c>
      <c r="J32" s="18">
        <f>C32-G32</f>
        <v>-167171</v>
      </c>
      <c r="K32" s="18">
        <v>-103545.117520472</v>
      </c>
    </row>
    <row r="33" ht="20.05" customHeight="1">
      <c r="B33" s="31"/>
      <c r="C33" s="17"/>
      <c r="D33" s="18"/>
      <c r="E33" s="18"/>
      <c r="F33" s="18"/>
      <c r="G33" s="18"/>
      <c r="H33" s="18"/>
      <c r="I33" s="18"/>
      <c r="J33" s="18"/>
      <c r="K33" s="18">
        <f>'Model'!F31</f>
        <v>-154391.333333333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7" customWidth="1"/>
    <col min="2" max="4" width="11.0547" style="37" customWidth="1"/>
    <col min="5" max="16384" width="16.3516" style="37" customWidth="1"/>
  </cols>
  <sheetData>
    <row r="1" ht="40" customHeight="1"/>
    <row r="2" ht="27.65" customHeight="1">
      <c r="B2" t="s" s="2">
        <v>56</v>
      </c>
      <c r="C2" s="2"/>
      <c r="D2" s="2"/>
    </row>
    <row r="3" ht="20.35" customHeight="1">
      <c r="B3" s="4"/>
      <c r="C3" t="s" s="38">
        <v>56</v>
      </c>
      <c r="D3" t="s" s="38">
        <v>57</v>
      </c>
    </row>
    <row r="4" ht="20.7" customHeight="1">
      <c r="B4" s="27">
        <v>2018</v>
      </c>
      <c r="C4" s="39">
        <v>74.61</v>
      </c>
      <c r="D4" s="40"/>
    </row>
    <row r="5" ht="20.7" customHeight="1">
      <c r="B5" s="31"/>
      <c r="C5" s="39">
        <v>82.73</v>
      </c>
      <c r="D5" s="40"/>
    </row>
    <row r="6" ht="20.7" customHeight="1">
      <c r="B6" s="31"/>
      <c r="C6" s="39">
        <v>85.02</v>
      </c>
      <c r="D6" s="40"/>
    </row>
    <row r="7" ht="20.7" customHeight="1">
      <c r="B7" s="31"/>
      <c r="C7" s="39">
        <v>68.19</v>
      </c>
      <c r="D7" s="40"/>
    </row>
    <row r="8" ht="20.7" customHeight="1">
      <c r="B8" s="32">
        <v>2019</v>
      </c>
      <c r="C8" s="39">
        <v>80.8</v>
      </c>
      <c r="D8" s="40"/>
    </row>
    <row r="9" ht="20.7" customHeight="1">
      <c r="B9" s="31"/>
      <c r="C9" s="39">
        <v>76.63</v>
      </c>
      <c r="D9" s="41"/>
    </row>
    <row r="10" ht="20.7" customHeight="1">
      <c r="B10" s="31"/>
      <c r="C10" s="39">
        <v>70.61</v>
      </c>
      <c r="D10" s="18"/>
    </row>
    <row r="11" ht="20.7" customHeight="1">
      <c r="B11" s="31"/>
      <c r="C11" s="39">
        <v>69.78</v>
      </c>
      <c r="D11" s="18"/>
    </row>
    <row r="12" ht="20.35" customHeight="1">
      <c r="B12" s="32">
        <v>2020</v>
      </c>
      <c r="C12" s="42">
        <v>37.97</v>
      </c>
      <c r="D12" s="18"/>
    </row>
    <row r="13" ht="20.05" customHeight="1">
      <c r="B13" s="31"/>
      <c r="C13" s="17">
        <v>42.821705</v>
      </c>
      <c r="D13" s="18"/>
    </row>
    <row r="14" ht="20.35" customHeight="1">
      <c r="B14" s="31"/>
      <c r="C14" s="17">
        <v>32.961494</v>
      </c>
      <c r="D14" s="43"/>
    </row>
    <row r="15" ht="20.7" customHeight="1">
      <c r="B15" s="31"/>
      <c r="C15" s="17">
        <v>40.531681</v>
      </c>
      <c r="D15" s="40"/>
    </row>
    <row r="16" ht="20.7" customHeight="1">
      <c r="B16" s="32">
        <v>2021</v>
      </c>
      <c r="C16" s="17">
        <v>55.028351</v>
      </c>
      <c r="D16" s="40"/>
    </row>
    <row r="17" ht="20.35" customHeight="1">
      <c r="B17" s="31"/>
      <c r="C17" s="17">
        <v>63.26</v>
      </c>
      <c r="D17" s="41"/>
    </row>
    <row r="18" ht="20.05" customHeight="1">
      <c r="B18" s="31"/>
      <c r="C18" s="17">
        <v>60.93</v>
      </c>
      <c r="D18" s="18"/>
    </row>
    <row r="19" ht="20.05" customHeight="1">
      <c r="B19" s="31"/>
      <c r="C19" s="17">
        <v>61.19</v>
      </c>
      <c r="D19" s="18"/>
    </row>
    <row r="20" ht="20.35" customHeight="1">
      <c r="B20" s="32">
        <v>2022</v>
      </c>
      <c r="C20" s="17">
        <v>82.59</v>
      </c>
      <c r="D20" s="43">
        <v>113</v>
      </c>
    </row>
    <row r="21" ht="20.7" customHeight="1">
      <c r="B21" s="31"/>
      <c r="C21" s="17">
        <v>93.89</v>
      </c>
      <c r="D21" s="40">
        <v>162.611501322923</v>
      </c>
    </row>
    <row r="22" ht="20.35" customHeight="1">
      <c r="B22" s="31"/>
      <c r="C22" s="17"/>
      <c r="D22" s="41">
        <f>'Model'!F44</f>
        <v>153.686130111760</v>
      </c>
    </row>
    <row r="23" ht="20.05" customHeight="1">
      <c r="B23" s="31"/>
      <c r="C23" s="17"/>
      <c r="D23" s="18"/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