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 " sheetId="5" r:id="rId8"/>
    <sheet name="Capital" sheetId="6" r:id="rId9"/>
  </sheets>
</workbook>
</file>

<file path=xl/sharedStrings.xml><?xml version="1.0" encoding="utf-8"?>
<sst xmlns="http://schemas.openxmlformats.org/spreadsheetml/2006/main" uniqueCount="88">
  <si>
    <t>Financial model</t>
  </si>
  <si>
    <t>$m</t>
  </si>
  <si>
    <t>4Q 2022</t>
  </si>
  <si>
    <t xml:space="preserve">Cashflow </t>
  </si>
  <si>
    <t xml:space="preserve">Growth </t>
  </si>
  <si>
    <t>Sales</t>
  </si>
  <si>
    <t xml:space="preserve">Cost ratio </t>
  </si>
  <si>
    <t xml:space="preserve">Cash costs </t>
  </si>
  <si>
    <t xml:space="preserve">Operating </t>
  </si>
  <si>
    <t>Investment</t>
  </si>
  <si>
    <t>Finance</t>
  </si>
  <si>
    <t xml:space="preserve">Liabilities </t>
  </si>
  <si>
    <t xml:space="preserve">Equity </t>
  </si>
  <si>
    <t xml:space="preserve">Before revolver </t>
  </si>
  <si>
    <t xml:space="preserve">Revolver </t>
  </si>
  <si>
    <t xml:space="preserve">Beginning </t>
  </si>
  <si>
    <t xml:space="preserve">Change </t>
  </si>
  <si>
    <t xml:space="preserve">Ending </t>
  </si>
  <si>
    <t xml:space="preserve">Profit </t>
  </si>
  <si>
    <t xml:space="preserve">Non cash costs </t>
  </si>
  <si>
    <t xml:space="preserve">Provisions </t>
  </si>
  <si>
    <t>Balance sheet</t>
  </si>
  <si>
    <t>Other assets</t>
  </si>
  <si>
    <t xml:space="preserve">Depreciation </t>
  </si>
  <si>
    <t>Net other assets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</si>
  <si>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</si>
  <si>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</si>
  <si>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</si>
  <si>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</si>
  <si>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</si>
  <si>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</si>
  <si>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 xml:space="preserve">Yield </t>
  </si>
  <si>
    <t xml:space="preserve">Payback </t>
  </si>
  <si>
    <t xml:space="preserve">Forecast </t>
  </si>
  <si>
    <t xml:space="preserve">Value </t>
  </si>
  <si>
    <t>Shares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</si>
  <si>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</si>
  <si>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</si>
  <si>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</si>
  <si>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</si>
  <si>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forecasts </t>
  </si>
  <si>
    <t xml:space="preserve">Net profit </t>
  </si>
  <si>
    <t xml:space="preserve">Sales growth </t>
  </si>
  <si>
    <t xml:space="preserve">Cash costs ratio </t>
  </si>
  <si>
    <t xml:space="preserve">Costs </t>
  </si>
  <si>
    <t>Cashflow</t>
  </si>
  <si>
    <t xml:space="preserve">Receipts </t>
  </si>
  <si>
    <t>Lease</t>
  </si>
  <si>
    <t xml:space="preserve">Free cashflow </t>
  </si>
  <si>
    <t xml:space="preserve">Cash </t>
  </si>
  <si>
    <t>Assets</t>
  </si>
  <si>
    <t xml:space="preserve">Other assets </t>
  </si>
  <si>
    <t>Check</t>
  </si>
  <si>
    <t>Net cash</t>
  </si>
  <si>
    <t>Share price</t>
  </si>
  <si>
    <t>WOMF</t>
  </si>
  <si>
    <t>Target</t>
  </si>
  <si>
    <t xml:space="preserve">Previous </t>
  </si>
  <si>
    <t>Capital</t>
  </si>
  <si>
    <t>Rpbn</t>
  </si>
  <si>
    <t>Total</t>
  </si>
  <si>
    <t>Table 1</t>
  </si>
  <si>
    <t>BFIN</t>
  </si>
  <si>
    <t xml:space="preserve">capital history </t>
  </si>
  <si>
    <t xml:space="preserve">Start date </t>
  </si>
  <si>
    <t xml:space="preserve">Number of quarters </t>
  </si>
  <si>
    <t xml:space="preserve">has </t>
  </si>
  <si>
    <t xml:space="preserve">liabilities </t>
  </si>
  <si>
    <t xml:space="preserve">by an average </t>
  </si>
  <si>
    <t xml:space="preserve">billion rupiah </t>
  </si>
  <si>
    <t>every year</t>
  </si>
  <si>
    <t xml:space="preserve">In the last 5 years </t>
  </si>
  <si>
    <t>were</t>
  </si>
  <si>
    <t xml:space="preserve">The peak in cumulative liabilities </t>
  </si>
  <si>
    <t xml:space="preserve">was </t>
  </si>
  <si>
    <t xml:space="preserve">in </t>
  </si>
  <si>
    <t xml:space="preserve">As of the latest quarter </t>
  </si>
  <si>
    <t xml:space="preserve">cumulative </t>
  </si>
  <si>
    <t>are</t>
  </si>
  <si>
    <t>up</t>
  </si>
  <si>
    <t>to</t>
  </si>
  <si>
    <t>paid</t>
  </si>
  <si>
    <t xml:space="preserve">equity </t>
  </si>
  <si>
    <t>was</t>
  </si>
  <si>
    <t xml:space="preserve">The peak in cumulative equity </t>
  </si>
  <si>
    <t>is</t>
  </si>
  <si>
    <t xml:space="preserve">Total capital </t>
  </si>
  <si>
    <t xml:space="preserve">total capital 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</si>
</sst>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#,##0%"/>
    <numFmt numFmtId="60" formatCode="#,##0.0"/>
    <numFmt numFmtId="61" formatCode="mmmm"/>
  </numFmts>
  <fonts count="5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b val="1"/>
      <sz val="25"/>
      <color indexed="8"/>
      <name val="Helvetica Neue"/>
    </font>
    <font>
      <b val="1"/>
      <sz val="25"/>
      <color indexed="17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4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0" applyFont="1" applyFill="1" applyBorder="1" applyAlignment="1" applyProtection="0">
      <alignment vertical="top" wrapText="1"/>
    </xf>
    <xf numFmtId="49" fontId="0" borderId="3" applyNumberFormat="1" applyFont="1" applyFill="0" applyBorder="1" applyAlignment="1" applyProtection="0">
      <alignment vertical="top" wrapText="1"/>
    </xf>
    <xf numFmtId="49" fontId="0" borderId="4" applyNumberFormat="1" applyFont="1" applyFill="0" applyBorder="1" applyAlignment="1" applyProtection="0">
      <alignment vertical="top" wrapText="1"/>
    </xf>
    <xf numFmtId="61" fontId="0" borderId="6" applyNumberFormat="1" applyFont="1" applyFill="0" applyBorder="1" applyAlignment="1" applyProtection="0">
      <alignment vertical="top" wrapText="1"/>
    </xf>
    <xf numFmtId="49" fontId="0" borderId="6" applyNumberFormat="1" applyFont="1" applyFill="0" applyBorder="1" applyAlignment="1" applyProtection="0">
      <alignment vertical="top" wrapText="1"/>
    </xf>
    <xf numFmtId="49" fontId="0" borderId="7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b8b8b8"/>
      <rgbColor rgb="fffefffe"/>
      <rgbColor rgb="ff919191"/>
      <rgbColor rgb="ffed220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068234"/>
          <c:y val="0.0446026"/>
          <c:w val="0.922346"/>
          <c:h val="0.881835"/>
        </c:manualLayout>
      </c:layout>
      <c:lineChart>
        <c:grouping val="standard"/>
        <c:varyColors val="0"/>
        <c:ser>
          <c:idx val="0"/>
          <c:order val="0"/>
          <c:tx>
            <c:strRef>
              <c:f>'Capital'!$E$2</c:f>
              <c:strCache>
                <c:ptCount val="1"/>
                <c:pt idx="0">
                  <c:v>Liabilities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 Neue"/>
                  </a:defRPr>
                </a:pPr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'Capital'!$A$9:$A$24</c:f>
              <c:strCach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strCache>
            </c:strRef>
          </c:cat>
          <c:val>
            <c:numRef>
              <c:f>'Capital'!$E$9:$E$24</c:f>
              <c:numCache>
                <c:ptCount val="16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0.000000</c:v>
                </c:pt>
                <c:pt idx="4">
                  <c:v>0.000000</c:v>
                </c:pt>
                <c:pt idx="5">
                  <c:v>0.000000</c:v>
                </c:pt>
                <c:pt idx="6">
                  <c:v>0.000000</c:v>
                </c:pt>
                <c:pt idx="7">
                  <c:v>0.000000</c:v>
                </c:pt>
                <c:pt idx="8">
                  <c:v>0.000000</c:v>
                </c:pt>
                <c:pt idx="9">
                  <c:v>0.000000</c:v>
                </c:pt>
                <c:pt idx="10">
                  <c:v>0.000000</c:v>
                </c:pt>
                <c:pt idx="11">
                  <c:v>0.000000</c:v>
                </c:pt>
                <c:pt idx="12">
                  <c:v>0.000000</c:v>
                </c:pt>
                <c:pt idx="13">
                  <c:v>0.000000</c:v>
                </c:pt>
                <c:pt idx="14">
                  <c:v>0.000000</c:v>
                </c:pt>
                <c:pt idx="15">
                  <c:v>0.000000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'Capital'!$F$2</c:f>
              <c:strCache>
                <c:ptCount val="1"/>
                <c:pt idx="0">
                  <c:v>Equity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 Neue"/>
                  </a:defRPr>
                </a:pPr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'Capital'!$A$9:$A$24</c:f>
              <c:strCach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strCache>
            </c:strRef>
          </c:cat>
          <c:val>
            <c:numRef>
              <c:f>'Capital'!$F$9:$F$24</c:f>
              <c:numCache>
                <c:ptCount val="16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0.000000</c:v>
                </c:pt>
                <c:pt idx="4">
                  <c:v>0.000000</c:v>
                </c:pt>
                <c:pt idx="5">
                  <c:v>0.000000</c:v>
                </c:pt>
                <c:pt idx="6">
                  <c:v>0.000000</c:v>
                </c:pt>
                <c:pt idx="7">
                  <c:v>0.000000</c:v>
                </c:pt>
                <c:pt idx="8">
                  <c:v>0.000000</c:v>
                </c:pt>
                <c:pt idx="9">
                  <c:v>0.000000</c:v>
                </c:pt>
                <c:pt idx="10">
                  <c:v>0.000000</c:v>
                </c:pt>
                <c:pt idx="11">
                  <c:v>0.000000</c:v>
                </c:pt>
                <c:pt idx="12">
                  <c:v>0.000000</c:v>
                </c:pt>
                <c:pt idx="13">
                  <c:v>0.000000</c:v>
                </c:pt>
                <c:pt idx="14">
                  <c:v>0.000000</c:v>
                </c:pt>
                <c:pt idx="15">
                  <c:v>0.000000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'Capital'!$G$2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rgbClr val="929292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rgbClr val="929292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 Neue"/>
                  </a:defRPr>
                </a:pPr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'Capital'!$A$9:$A$24</c:f>
              <c:strCach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strCache>
            </c:strRef>
          </c:cat>
          <c:val>
            <c:numRef>
              <c:f>'Capital'!$G$9:$G$24</c:f>
              <c:numCache>
                <c:ptCount val="16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0.000000</c:v>
                </c:pt>
                <c:pt idx="4">
                  <c:v>0.000000</c:v>
                </c:pt>
                <c:pt idx="5">
                  <c:v>0.000000</c:v>
                </c:pt>
                <c:pt idx="6">
                  <c:v>0.000000</c:v>
                </c:pt>
                <c:pt idx="7">
                  <c:v>0.000000</c:v>
                </c:pt>
                <c:pt idx="8">
                  <c:v>0.000000</c:v>
                </c:pt>
                <c:pt idx="9">
                  <c:v>0.000000</c:v>
                </c:pt>
                <c:pt idx="10">
                  <c:v>0.000000</c:v>
                </c:pt>
                <c:pt idx="11">
                  <c:v>0.000000</c:v>
                </c:pt>
                <c:pt idx="12">
                  <c:v>0.000000</c:v>
                </c:pt>
                <c:pt idx="13">
                  <c:v>0.000000</c:v>
                </c:pt>
                <c:pt idx="14">
                  <c:v>0.000000</c:v>
                </c:pt>
                <c:pt idx="15">
                  <c:v>0.000000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1"/>
        <c:minorUnit val="0.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100986"/>
          <c:y val="0.0423418"/>
          <c:w val="0.351012"/>
          <c:h val="0.15880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487680</xdr:colOff>
      <xdr:row>1</xdr:row>
      <xdr:rowOff>244288</xdr:rowOff>
    </xdr:from>
    <xdr:to>
      <xdr:col>13</xdr:col>
      <xdr:colOff>719966</xdr:colOff>
      <xdr:row>47</xdr:row>
      <xdr:rowOff>154006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767580" y="400498"/>
          <a:ext cx="8944487" cy="1172452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372459</xdr:colOff>
      <xdr:row>33</xdr:row>
      <xdr:rowOff>85486</xdr:rowOff>
    </xdr:from>
    <xdr:to>
      <xdr:col>4</xdr:col>
      <xdr:colOff>560228</xdr:colOff>
      <xdr:row>41</xdr:row>
      <xdr:rowOff>13922</xdr:rowOff>
    </xdr:to>
    <xdr:graphicFrame>
      <xdr:nvGraphicFramePr>
        <xdr:cNvPr id="4" name="2D Line Chart"/>
        <xdr:cNvGraphicFramePr/>
      </xdr:nvGraphicFramePr>
      <xdr:xfrm>
        <a:off x="372459" y="9146936"/>
        <a:ext cx="3235770" cy="3337117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106844</xdr:rowOff>
    </xdr:from>
    <xdr:to>
      <xdr:col>6</xdr:col>
      <xdr:colOff>371311</xdr:colOff>
      <xdr:row>33</xdr:row>
      <xdr:rowOff>204206</xdr:rowOff>
    </xdr:to>
    <xdr:sp>
      <xdr:nvSpPr>
        <xdr:cNvPr id="5" name="BFIN CAPITAL RAISED IS DOWN TO 2.8 TRILLION RUPIAH"/>
        <xdr:cNvSpPr txBox="1"/>
      </xdr:nvSpPr>
      <xdr:spPr>
        <a:xfrm>
          <a:off x="-640189" y="7844954"/>
          <a:ext cx="4943312" cy="142070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BFIN CAPITAL RAISED IS DOWN TO </a:t>
          </a:r>
          <a:r>
            <a:rPr b="1" baseline="0" cap="none" i="0" spc="0" strike="noStrike" sz="2500" u="none">
              <a:solidFill>
                <a:schemeClr val="accent5">
                  <a:hueOff val="-82419"/>
                  <a:satOff val="-9513"/>
                  <a:lumOff val="-16343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2.8</a:t>
          </a:r>
          <a:r>
            <a: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TRILLION RUPIAH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39062" style="1" customWidth="1"/>
    <col min="2" max="2" width="14.8281" style="1" customWidth="1"/>
    <col min="3" max="6" width="9" style="1" customWidth="1"/>
    <col min="7" max="16384" width="16.3516" style="1" customWidth="1"/>
  </cols>
  <sheetData>
    <row r="1" ht="12.3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s="4"/>
      <c r="F3" t="s" s="5">
        <v>2</v>
      </c>
    </row>
    <row r="4" ht="20.25" customHeight="1">
      <c r="B4" t="s" s="6">
        <v>3</v>
      </c>
      <c r="C4" s="7">
        <f>AVERAGE('Sales'!G15:G18)</f>
        <v>-0.00689018610850118</v>
      </c>
      <c r="D4" s="8"/>
      <c r="E4" s="8"/>
      <c r="F4" s="9">
        <f>AVERAGE(C5:F5)</f>
        <v>0.0525</v>
      </c>
    </row>
    <row r="5" ht="20.05" customHeight="1">
      <c r="B5" t="s" s="10">
        <v>4</v>
      </c>
      <c r="C5" s="11">
        <v>-0.01</v>
      </c>
      <c r="D5" s="12">
        <v>0.05</v>
      </c>
      <c r="E5" s="12">
        <v>0.05</v>
      </c>
      <c r="F5" s="12">
        <v>0.12</v>
      </c>
    </row>
    <row r="6" ht="20.05" customHeight="1">
      <c r="B6" t="s" s="10">
        <v>5</v>
      </c>
      <c r="C6" s="13">
        <f>'Sales'!B18*(1+C5)</f>
        <v>418.6512</v>
      </c>
      <c r="D6" s="14">
        <f>C6*(1+D5)</f>
        <v>439.58376</v>
      </c>
      <c r="E6" s="14">
        <f>D6*(1+E5)</f>
        <v>461.562948</v>
      </c>
      <c r="F6" s="14">
        <f>E6*(1+F5)</f>
        <v>516.95050176</v>
      </c>
    </row>
    <row r="7" ht="20.05" customHeight="1">
      <c r="B7" t="s" s="10">
        <v>6</v>
      </c>
      <c r="C7" s="15">
        <f>AVERAGE('Sales'!H18)</f>
        <v>-0.735858872493379</v>
      </c>
      <c r="D7" s="16">
        <f>C7</f>
        <v>-0.735858872493379</v>
      </c>
      <c r="E7" s="16">
        <f>D7</f>
        <v>-0.735858872493379</v>
      </c>
      <c r="F7" s="16">
        <f>E7</f>
        <v>-0.735858872493379</v>
      </c>
    </row>
    <row r="8" ht="20.05" customHeight="1">
      <c r="B8" t="s" s="10">
        <v>7</v>
      </c>
      <c r="C8" s="17">
        <f>C6*C7</f>
        <v>-308.0682</v>
      </c>
      <c r="D8" s="18">
        <f>D6*D7</f>
        <v>-323.47161</v>
      </c>
      <c r="E8" s="18">
        <f>E6*E7</f>
        <v>-339.6451905</v>
      </c>
      <c r="F8" s="18">
        <f>F6*F7</f>
        <v>-380.40261336</v>
      </c>
    </row>
    <row r="9" ht="20.05" customHeight="1">
      <c r="B9" t="s" s="10">
        <v>8</v>
      </c>
      <c r="C9" s="17">
        <f>C6+C8</f>
        <v>110.583</v>
      </c>
      <c r="D9" s="18">
        <f>D6+D8</f>
        <v>116.11215</v>
      </c>
      <c r="E9" s="18">
        <f>E6+E8</f>
        <v>121.9177575</v>
      </c>
      <c r="F9" s="18">
        <f>F6+F8</f>
        <v>136.5478884</v>
      </c>
    </row>
    <row r="10" ht="20.05" customHeight="1">
      <c r="B10" t="s" s="10">
        <v>9</v>
      </c>
      <c r="C10" s="17">
        <f>AVERAGE('Cashflow '!E19)</f>
        <v>-6.6</v>
      </c>
      <c r="D10" s="18">
        <f>C10</f>
        <v>-6.6</v>
      </c>
      <c r="E10" s="18">
        <f>D10</f>
        <v>-6.6</v>
      </c>
      <c r="F10" s="18">
        <f>E10</f>
        <v>-6.6</v>
      </c>
    </row>
    <row r="11" ht="20.05" customHeight="1">
      <c r="B11" t="s" s="10">
        <v>10</v>
      </c>
      <c r="C11" s="17">
        <f>C12+C13+C15</f>
        <v>-103.983</v>
      </c>
      <c r="D11" s="18">
        <f>D12+D13+D15</f>
        <v>-109.51215</v>
      </c>
      <c r="E11" s="18">
        <f>E12+E13+E15</f>
        <v>-115.3177575</v>
      </c>
      <c r="F11" s="18">
        <f>F12+F13+F15</f>
        <v>-129.9478884</v>
      </c>
    </row>
    <row r="12" ht="20.05" customHeight="1">
      <c r="B12" t="s" s="10">
        <v>11</v>
      </c>
      <c r="C12" s="17">
        <f>-'Balance sheet'!G19/20</f>
        <v>-190.87</v>
      </c>
      <c r="D12" s="18">
        <f>-C27/20</f>
        <v>-181.3265</v>
      </c>
      <c r="E12" s="18">
        <f>-D27/20</f>
        <v>-172.260175</v>
      </c>
      <c r="F12" s="18">
        <f>-E27/20</f>
        <v>-163.64716625</v>
      </c>
    </row>
    <row r="13" ht="20.05" customHeight="1">
      <c r="B13" t="s" s="10">
        <v>12</v>
      </c>
      <c r="C13" s="17">
        <f>IF(C22&gt;0,-C22*0.3,0)</f>
        <v>-43.4799</v>
      </c>
      <c r="D13" s="18">
        <f>IF(D22&gt;0,-D22*0.3,0)</f>
        <v>-45.138645</v>
      </c>
      <c r="E13" s="18">
        <f>IF(E22&gt;0,-E22*0.3,0)</f>
        <v>-46.88032725</v>
      </c>
      <c r="F13" s="18">
        <f>IF(F22&gt;0,-F22*0.3,0)</f>
        <v>-51.26936652</v>
      </c>
    </row>
    <row r="14" ht="20.05" customHeight="1">
      <c r="B14" t="s" s="10">
        <v>13</v>
      </c>
      <c r="C14" s="17">
        <f>C9+C10+C12+C13</f>
        <v>-130.3669</v>
      </c>
      <c r="D14" s="18">
        <f>D9+D10+D12+D13</f>
        <v>-116.952995</v>
      </c>
      <c r="E14" s="18">
        <f>E9+E10+E12+E13</f>
        <v>-103.82274475</v>
      </c>
      <c r="F14" s="18">
        <f>F9+F10+F12+F13</f>
        <v>-84.96864437000001</v>
      </c>
    </row>
    <row r="15" ht="20.05" customHeight="1">
      <c r="B15" t="s" s="10">
        <v>14</v>
      </c>
      <c r="C15" s="17">
        <f>-MIN(0,C14)</f>
        <v>130.3669</v>
      </c>
      <c r="D15" s="18">
        <f>-MIN(C28,D14)</f>
        <v>116.952995</v>
      </c>
      <c r="E15" s="18">
        <f>-MIN(D28,E14)</f>
        <v>103.82274475</v>
      </c>
      <c r="F15" s="18">
        <f>-MIN(E28,F14)</f>
        <v>84.96864437000001</v>
      </c>
    </row>
    <row r="16" ht="20.05" customHeight="1">
      <c r="B16" t="s" s="10">
        <v>15</v>
      </c>
      <c r="C16" s="17">
        <f>'Balance sheet'!C19</f>
        <v>450.06</v>
      </c>
      <c r="D16" s="18">
        <f>C18</f>
        <v>450.06</v>
      </c>
      <c r="E16" s="18">
        <f>D18</f>
        <v>450.06</v>
      </c>
      <c r="F16" s="18">
        <f>E18</f>
        <v>450.06</v>
      </c>
    </row>
    <row r="17" ht="20.05" customHeight="1">
      <c r="B17" t="s" s="10">
        <v>16</v>
      </c>
      <c r="C17" s="17">
        <f>C9+C10+C11</f>
        <v>0</v>
      </c>
      <c r="D17" s="18">
        <f>D9+D10+D11</f>
        <v>0</v>
      </c>
      <c r="E17" s="18">
        <f>E9+E10+E11</f>
        <v>0</v>
      </c>
      <c r="F17" s="18">
        <f>F9+F10+F11</f>
        <v>0</v>
      </c>
    </row>
    <row r="18" ht="20.05" customHeight="1">
      <c r="B18" t="s" s="10">
        <v>17</v>
      </c>
      <c r="C18" s="17">
        <f>C16+C17</f>
        <v>450.06</v>
      </c>
      <c r="D18" s="18">
        <f>D16+D17</f>
        <v>450.06</v>
      </c>
      <c r="E18" s="18">
        <f>E16+E17</f>
        <v>450.06</v>
      </c>
      <c r="F18" s="18">
        <f>F16+F17</f>
        <v>450.06</v>
      </c>
    </row>
    <row r="19" ht="20.05" customHeight="1">
      <c r="B19" t="s" s="19">
        <v>18</v>
      </c>
      <c r="C19" s="17"/>
      <c r="D19" s="18"/>
      <c r="E19" s="18"/>
      <c r="F19" s="20"/>
    </row>
    <row r="20" ht="20.05" customHeight="1">
      <c r="B20" t="s" s="10">
        <v>19</v>
      </c>
      <c r="C20" s="17">
        <f>-AVERAGE('Sales'!E18)</f>
        <v>-17.9</v>
      </c>
      <c r="D20" s="18">
        <f>C20</f>
        <v>-17.9</v>
      </c>
      <c r="E20" s="18">
        <f>D20</f>
        <v>-17.9</v>
      </c>
      <c r="F20" s="18">
        <f>E20</f>
        <v>-17.9</v>
      </c>
    </row>
    <row r="21" ht="20.05" customHeight="1">
      <c r="B21" t="s" s="10">
        <v>20</v>
      </c>
      <c r="C21" s="17">
        <f>AVERAGE('Sales'!D15:D18)</f>
        <v>52.25</v>
      </c>
      <c r="D21" s="18">
        <f>C21</f>
        <v>52.25</v>
      </c>
      <c r="E21" s="18">
        <f>D21</f>
        <v>52.25</v>
      </c>
      <c r="F21" s="18">
        <f>E21</f>
        <v>52.25</v>
      </c>
    </row>
    <row r="22" ht="20.05" customHeight="1">
      <c r="B22" t="s" s="10">
        <v>18</v>
      </c>
      <c r="C22" s="17">
        <f>C6+C8+C20+C21</f>
        <v>144.933</v>
      </c>
      <c r="D22" s="18">
        <f>D6+D8+D20+D21</f>
        <v>150.46215</v>
      </c>
      <c r="E22" s="18">
        <f>E6+E8+E20+E21</f>
        <v>156.2677575</v>
      </c>
      <c r="F22" s="18">
        <f>F6+F8+F20+F21</f>
        <v>170.8978884</v>
      </c>
    </row>
    <row r="23" ht="20.05" customHeight="1">
      <c r="B23" t="s" s="19">
        <v>21</v>
      </c>
      <c r="C23" s="17"/>
      <c r="D23" s="18"/>
      <c r="E23" s="18"/>
      <c r="F23" s="18"/>
    </row>
    <row r="24" ht="20.05" customHeight="1">
      <c r="B24" t="s" s="10">
        <v>22</v>
      </c>
      <c r="C24" s="17">
        <f>'Balance sheet'!E19+'Balance sheet'!F19-C10</f>
        <v>5372.64</v>
      </c>
      <c r="D24" s="18">
        <f>C24-D10</f>
        <v>5379.24</v>
      </c>
      <c r="E24" s="18">
        <f>D24-E10</f>
        <v>5385.84</v>
      </c>
      <c r="F24" s="18">
        <f>E24-F10</f>
        <v>5392.44</v>
      </c>
    </row>
    <row r="25" ht="20.05" customHeight="1">
      <c r="B25" t="s" s="10">
        <v>23</v>
      </c>
      <c r="C25" s="17">
        <f>'Balance sheet'!F19-C20</f>
        <v>682.9</v>
      </c>
      <c r="D25" s="18">
        <f>C25-D20</f>
        <v>700.8</v>
      </c>
      <c r="E25" s="18">
        <f>D25-E20</f>
        <v>718.7</v>
      </c>
      <c r="F25" s="18">
        <f>E25-F20</f>
        <v>736.6</v>
      </c>
    </row>
    <row r="26" ht="20.05" customHeight="1">
      <c r="B26" t="s" s="10">
        <v>24</v>
      </c>
      <c r="C26" s="17">
        <f>C24-C25</f>
        <v>4689.74</v>
      </c>
      <c r="D26" s="18">
        <f>D24-D25</f>
        <v>4678.44</v>
      </c>
      <c r="E26" s="18">
        <f>E24-E25</f>
        <v>4667.14</v>
      </c>
      <c r="F26" s="18">
        <f>F24-F25</f>
        <v>4655.84</v>
      </c>
    </row>
    <row r="27" ht="20.05" customHeight="1">
      <c r="B27" t="s" s="10">
        <v>11</v>
      </c>
      <c r="C27" s="17">
        <f>'Balance sheet'!G19+C12</f>
        <v>3626.53</v>
      </c>
      <c r="D27" s="18">
        <f>C27+D12</f>
        <v>3445.2035</v>
      </c>
      <c r="E27" s="18">
        <f>D27+E12</f>
        <v>3272.943325</v>
      </c>
      <c r="F27" s="18">
        <f>E27+F12</f>
        <v>3109.29615875</v>
      </c>
    </row>
    <row r="28" ht="20.05" customHeight="1">
      <c r="B28" t="s" s="10">
        <v>14</v>
      </c>
      <c r="C28" s="17">
        <f>C15</f>
        <v>130.3669</v>
      </c>
      <c r="D28" s="18">
        <f>C28+D15</f>
        <v>247.319895</v>
      </c>
      <c r="E28" s="18">
        <f>D28+E15</f>
        <v>351.14263975</v>
      </c>
      <c r="F28" s="18">
        <f>E28+F15</f>
        <v>436.11128412</v>
      </c>
    </row>
    <row r="29" ht="20.05" customHeight="1">
      <c r="B29" t="s" s="10">
        <v>12</v>
      </c>
      <c r="C29" s="17">
        <f>'Balance sheet'!H19+C22+C13</f>
        <v>1435.1531</v>
      </c>
      <c r="D29" s="18">
        <f>C29+D13+D22</f>
        <v>1540.476605</v>
      </c>
      <c r="E29" s="18">
        <f>D29+E13+E22</f>
        <v>1649.86403525</v>
      </c>
      <c r="F29" s="18">
        <f>E29+F13+F22</f>
        <v>1769.49255713</v>
      </c>
    </row>
    <row r="30" ht="20.05" customHeight="1">
      <c r="B30" t="s" s="10">
        <v>25</v>
      </c>
      <c r="C30" s="17">
        <f>C27+C28+C29-C18-C26</f>
        <v>52.25</v>
      </c>
      <c r="D30" s="18">
        <f>D27+D28+D29-D18-D26</f>
        <v>104.5</v>
      </c>
      <c r="E30" s="18">
        <f>E27+E28+E29-E18-E26</f>
        <v>156.75</v>
      </c>
      <c r="F30" s="18">
        <f>F27+F28+F29-F18-F26</f>
        <v>209</v>
      </c>
    </row>
    <row r="31" ht="20.05" customHeight="1">
      <c r="B31" t="s" s="10">
        <v>26</v>
      </c>
      <c r="C31" s="17">
        <f>C18-C27-C28</f>
        <v>-3306.8369</v>
      </c>
      <c r="D31" s="18">
        <f>D18-D27-D28</f>
        <v>-3242.463395</v>
      </c>
      <c r="E31" s="18">
        <f>E18-E27-E28</f>
        <v>-3174.02596475</v>
      </c>
      <c r="F31" s="18">
        <f>F18-F27-F28</f>
        <v>-3095.34744287</v>
      </c>
    </row>
    <row r="32" ht="20.05" customHeight="1">
      <c r="B32" t="s" s="10">
        <v>27</v>
      </c>
      <c r="C32" s="17"/>
      <c r="D32" s="18"/>
      <c r="E32" s="18"/>
      <c r="F32" s="18"/>
    </row>
    <row r="33" ht="20.05" customHeight="1">
      <c r="B33" t="s" s="10">
        <v>28</v>
      </c>
      <c r="C33" s="17">
        <f>'Cashflow '!O19-C11</f>
        <v>3074.183</v>
      </c>
      <c r="D33" s="18">
        <f>C33-D11</f>
        <v>3183.69515</v>
      </c>
      <c r="E33" s="18">
        <f>D33-E11</f>
        <v>3299.0129075</v>
      </c>
      <c r="F33" s="18">
        <f>E33-F11</f>
        <v>3428.9607959</v>
      </c>
    </row>
    <row r="34" ht="20.05" customHeight="1">
      <c r="B34" t="s" s="10">
        <v>29</v>
      </c>
      <c r="C34" s="17"/>
      <c r="D34" s="18"/>
      <c r="E34" s="18"/>
      <c r="F34" s="18">
        <v>807.7</v>
      </c>
    </row>
    <row r="35" ht="20.05" customHeight="1">
      <c r="B35" t="s" s="10">
        <v>30</v>
      </c>
      <c r="C35" s="17"/>
      <c r="D35" s="18"/>
      <c r="E35" s="18"/>
      <c r="F35" s="21">
        <f>F34/(F18+F26)</f>
        <v>0.158189545427838</v>
      </c>
    </row>
    <row r="36" ht="20.05" customHeight="1">
      <c r="B36" t="s" s="10">
        <v>31</v>
      </c>
      <c r="C36" s="17"/>
      <c r="D36" s="18"/>
      <c r="E36" s="18"/>
      <c r="F36" s="16">
        <f>-(C13+D13+E13+F13)/F34</f>
        <v>0.231234664813668</v>
      </c>
    </row>
    <row r="37" ht="20.05" customHeight="1">
      <c r="B37" t="s" s="10">
        <v>3</v>
      </c>
      <c r="C37" s="17"/>
      <c r="D37" s="18"/>
      <c r="E37" s="18"/>
      <c r="F37" s="18">
        <f>SUM(C9:F10)</f>
        <v>458.7607959</v>
      </c>
    </row>
    <row r="38" ht="20.05" customHeight="1">
      <c r="B38" t="s" s="10">
        <v>32</v>
      </c>
      <c r="C38" s="17"/>
      <c r="D38" s="18"/>
      <c r="E38" s="18"/>
      <c r="F38" s="18">
        <f>'Balance sheet'!E19/F37</f>
        <v>10.2472574858483</v>
      </c>
    </row>
    <row r="39" ht="20.05" customHeight="1">
      <c r="B39" t="s" s="10">
        <v>27</v>
      </c>
      <c r="C39" s="17"/>
      <c r="D39" s="18"/>
      <c r="E39" s="18"/>
      <c r="F39" s="18">
        <f>F34/F37</f>
        <v>1.76061251793639</v>
      </c>
    </row>
    <row r="40" ht="20.05" customHeight="1">
      <c r="B40" t="s" s="10">
        <v>33</v>
      </c>
      <c r="C40" s="17"/>
      <c r="D40" s="18"/>
      <c r="E40" s="18"/>
      <c r="F40" s="18">
        <v>4</v>
      </c>
    </row>
    <row r="41" ht="20.05" customHeight="1">
      <c r="B41" t="s" s="10">
        <v>34</v>
      </c>
      <c r="C41" s="17"/>
      <c r="D41" s="18"/>
      <c r="E41" s="18"/>
      <c r="F41" s="18">
        <f>F37*F40</f>
        <v>1835.0431836</v>
      </c>
    </row>
    <row r="42" ht="20.05" customHeight="1">
      <c r="B42" t="s" s="10">
        <v>35</v>
      </c>
      <c r="C42" s="17"/>
      <c r="D42" s="18"/>
      <c r="E42" s="18"/>
      <c r="F42" s="18">
        <f>F34/F44</f>
        <v>3.48146551724138</v>
      </c>
    </row>
    <row r="43" ht="20.05" customHeight="1">
      <c r="B43" t="s" s="10">
        <v>36</v>
      </c>
      <c r="C43" s="17"/>
      <c r="D43" s="18"/>
      <c r="E43" s="18"/>
      <c r="F43" s="18">
        <f>F41/F42</f>
        <v>527.089288838925</v>
      </c>
    </row>
    <row r="44" ht="20.05" customHeight="1">
      <c r="B44" t="s" s="10">
        <v>37</v>
      </c>
      <c r="C44" s="17"/>
      <c r="D44" s="18"/>
      <c r="E44" s="18"/>
      <c r="F44" s="18">
        <f>'Share price '!B19</f>
        <v>232</v>
      </c>
    </row>
    <row r="45" ht="20.05" customHeight="1">
      <c r="B45" t="s" s="10">
        <v>38</v>
      </c>
      <c r="C45" s="17"/>
      <c r="D45" s="18"/>
      <c r="E45" s="18"/>
      <c r="F45" s="16">
        <f>F43/F44-1</f>
        <v>1.27193658982295</v>
      </c>
    </row>
    <row r="46" ht="20.05" customHeight="1">
      <c r="B46" t="s" s="10">
        <v>39</v>
      </c>
      <c r="C46" s="17"/>
      <c r="D46" s="18"/>
      <c r="E46" s="18"/>
      <c r="F46" s="16">
        <f>'Sales'!B18/'Sales'!B14-1</f>
        <v>-0.0406533575317604</v>
      </c>
    </row>
    <row r="47" ht="20.05" customHeight="1">
      <c r="B47" t="s" s="10">
        <v>40</v>
      </c>
      <c r="C47" s="17"/>
      <c r="D47" s="18"/>
      <c r="E47" s="18"/>
      <c r="F47" s="16">
        <f>('Sales'!C14+'Sales'!C18+'Sales'!C15+'Sales'!C16+'Sales'!C17)/('Sales'!B14+'Sales'!B15+'Sales'!B16+'Sales'!B18+'Sales'!B17)-1</f>
        <v>-1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2:I22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9" width="11.8672" style="22" customWidth="1"/>
    <col min="10" max="16384" width="16.3516" style="22" customWidth="1"/>
  </cols>
  <sheetData>
    <row r="1" ht="27.65" customHeight="1">
      <c r="A1" t="s" s="2">
        <v>5</v>
      </c>
      <c r="B1" s="2"/>
      <c r="C1" s="2"/>
      <c r="D1" s="2"/>
      <c r="E1" s="2"/>
      <c r="F1" s="2"/>
      <c r="G1" s="2"/>
      <c r="H1" s="2"/>
      <c r="I1" s="2"/>
    </row>
    <row r="2" ht="32.25" customHeight="1">
      <c r="A2" t="s" s="5">
        <v>1</v>
      </c>
      <c r="B2" t="s" s="5">
        <v>5</v>
      </c>
      <c r="C2" t="s" s="5">
        <v>33</v>
      </c>
      <c r="D2" t="s" s="5">
        <v>20</v>
      </c>
      <c r="E2" t="s" s="5">
        <v>23</v>
      </c>
      <c r="F2" t="s" s="5">
        <v>41</v>
      </c>
      <c r="G2" t="s" s="5">
        <v>42</v>
      </c>
      <c r="H2" t="s" s="5">
        <v>43</v>
      </c>
      <c r="I2" t="s" s="5">
        <v>44</v>
      </c>
    </row>
    <row r="3" ht="20.25" customHeight="1">
      <c r="A3" s="23">
        <v>2018</v>
      </c>
      <c r="B3" s="24">
        <v>626</v>
      </c>
      <c r="C3" s="8"/>
      <c r="D3" s="25">
        <v>101</v>
      </c>
      <c r="E3" s="26">
        <v>9.25</v>
      </c>
      <c r="F3" s="25">
        <v>55</v>
      </c>
      <c r="G3" s="27"/>
      <c r="H3" s="9">
        <f>(D3+E3+F3-B3)/B3</f>
        <v>-0.736022364217252</v>
      </c>
      <c r="I3" s="27"/>
    </row>
    <row r="4" ht="20.05" customHeight="1">
      <c r="A4" s="28"/>
      <c r="B4" s="13">
        <f>1289.7-B3</f>
        <v>663.7</v>
      </c>
      <c r="C4" s="20"/>
      <c r="D4" s="18">
        <f>233-D3</f>
        <v>132</v>
      </c>
      <c r="E4" s="14">
        <v>9.25</v>
      </c>
      <c r="F4" s="18">
        <f>105.5-F3</f>
        <v>50.5</v>
      </c>
      <c r="G4" s="16">
        <f>B4/B3-1</f>
        <v>0.060223642172524</v>
      </c>
      <c r="H4" s="12">
        <f>(D4+E4+F4-B4)/B4</f>
        <v>-0.711089347596806</v>
      </c>
      <c r="I4" s="16">
        <f>AVERAGE(H2:H4)</f>
        <v>-0.723555855907029</v>
      </c>
    </row>
    <row r="5" ht="20.05" customHeight="1">
      <c r="A5" s="28"/>
      <c r="B5" s="13">
        <f>1966.5-B4-B3</f>
        <v>676.8</v>
      </c>
      <c r="C5" s="20"/>
      <c r="D5" s="18">
        <f>366.8-D4-D3</f>
        <v>133.8</v>
      </c>
      <c r="E5" s="14">
        <v>9.25</v>
      </c>
      <c r="F5" s="18">
        <f>152.3-F4-F3</f>
        <v>46.8</v>
      </c>
      <c r="G5" s="16">
        <f>B5/B4-1</f>
        <v>0.0197378333584451</v>
      </c>
      <c r="H5" s="12">
        <f>(D5+E5+F5-B5)/B5</f>
        <v>-0.719488770685579</v>
      </c>
      <c r="I5" s="16">
        <f>AVERAGE(H2:H5)</f>
        <v>-0.722200160833212</v>
      </c>
    </row>
    <row r="6" ht="20.05" customHeight="1">
      <c r="A6" s="28"/>
      <c r="B6" s="13">
        <f>2616-B5-B4-B3</f>
        <v>649.5</v>
      </c>
      <c r="C6" s="20"/>
      <c r="D6" s="18">
        <f>474.3-D5-D4-D3</f>
        <v>107.5</v>
      </c>
      <c r="E6" s="14">
        <v>9.25</v>
      </c>
      <c r="F6" s="18">
        <f>215-F5-F4-F3</f>
        <v>62.7</v>
      </c>
      <c r="G6" s="16">
        <f>B6/B5-1</f>
        <v>-0.0403368794326241</v>
      </c>
      <c r="H6" s="12">
        <f>(D6+E6+F6-B6)/B6</f>
        <v>-0.723710546574288</v>
      </c>
      <c r="I6" s="16">
        <f>AVERAGE(H2:H6)</f>
        <v>-0.7225777572684809</v>
      </c>
    </row>
    <row r="7" ht="20.05" customHeight="1">
      <c r="A7" s="29">
        <v>2019</v>
      </c>
      <c r="B7" s="13">
        <v>634.6</v>
      </c>
      <c r="C7" s="14"/>
      <c r="D7" s="18">
        <v>130.6</v>
      </c>
      <c r="E7" s="18">
        <v>10</v>
      </c>
      <c r="F7" s="18">
        <v>43.4</v>
      </c>
      <c r="G7" s="16">
        <f>B7/B6-1</f>
        <v>-0.0229407236335643</v>
      </c>
      <c r="H7" s="12">
        <f>(D7+E7+F7-B7)/B7</f>
        <v>-0.710053577056413</v>
      </c>
      <c r="I7" s="16">
        <f>AVERAGE(H2:H7)</f>
        <v>-0.720072921226068</v>
      </c>
    </row>
    <row r="8" ht="20.05" customHeight="1">
      <c r="A8" s="28"/>
      <c r="B8" s="13">
        <f>1251.6-B7</f>
        <v>617</v>
      </c>
      <c r="C8" s="14"/>
      <c r="D8" s="18">
        <f>248.9-D7</f>
        <v>118.3</v>
      </c>
      <c r="E8" s="18">
        <f>20.9-E7</f>
        <v>10.9</v>
      </c>
      <c r="F8" s="18">
        <f>78.1-F7</f>
        <v>34.7</v>
      </c>
      <c r="G8" s="16">
        <f>B8/B7-1</f>
        <v>-0.0277340056728648</v>
      </c>
      <c r="H8" s="12">
        <f>(D8+E8+F8-B8)/B8</f>
        <v>-0.734359805510535</v>
      </c>
      <c r="I8" s="16">
        <f>AVERAGE(H2:H8)</f>
        <v>-0.722454068606812</v>
      </c>
    </row>
    <row r="9" ht="20.05" customHeight="1">
      <c r="A9" s="28"/>
      <c r="B9" s="13">
        <f>1909-B8-B7</f>
        <v>657.4</v>
      </c>
      <c r="C9" s="14"/>
      <c r="D9" s="18">
        <f>333.3-D8-D7</f>
        <v>84.40000000000001</v>
      </c>
      <c r="E9" s="18">
        <f>31.7-E8-E7</f>
        <v>10.8</v>
      </c>
      <c r="F9" s="18">
        <f>155.7-F8-F7</f>
        <v>77.59999999999999</v>
      </c>
      <c r="G9" s="16">
        <f>B9/B8-1</f>
        <v>0.06547811993517021</v>
      </c>
      <c r="H9" s="12">
        <f>(D9+E9+F9-B9)/B9</f>
        <v>-0.7371463340432</v>
      </c>
      <c r="I9" s="16">
        <f>AVERAGE(H7:H9)</f>
        <v>-0.727186572203383</v>
      </c>
    </row>
    <row r="10" ht="20.05" customHeight="1">
      <c r="A10" s="28"/>
      <c r="B10" s="13">
        <f>2643.7-B9-B8-B7</f>
        <v>734.7</v>
      </c>
      <c r="C10" s="14"/>
      <c r="D10" s="18">
        <f>404.9-D9-D8-D7</f>
        <v>71.59999999999999</v>
      </c>
      <c r="E10" s="18">
        <f>44.9-E9-E8-E7</f>
        <v>13.2</v>
      </c>
      <c r="F10" s="18">
        <f>259.7-F9-F8-F7</f>
        <v>104</v>
      </c>
      <c r="G10" s="16">
        <f>B10/B9-1</f>
        <v>0.117584423486462</v>
      </c>
      <c r="H10" s="12">
        <f>(D10+E10+F10-B10)/B10</f>
        <v>-0.743024363685858</v>
      </c>
      <c r="I10" s="16">
        <f>AVERAGE(H7:H10)</f>
        <v>-0.731146020074002</v>
      </c>
    </row>
    <row r="11" ht="20.05" customHeight="1">
      <c r="A11" s="29">
        <v>2020</v>
      </c>
      <c r="B11" s="13">
        <v>633.6</v>
      </c>
      <c r="C11" s="14"/>
      <c r="D11" s="18">
        <v>113.9</v>
      </c>
      <c r="E11" s="18">
        <v>19.9</v>
      </c>
      <c r="F11" s="18">
        <v>44.2</v>
      </c>
      <c r="G11" s="16">
        <f>B11/B10-1</f>
        <v>-0.137607186606778</v>
      </c>
      <c r="H11" s="12">
        <f>(D11+E11+F11-B11)/B11</f>
        <v>-0.719065656565657</v>
      </c>
      <c r="I11" s="16">
        <f>AVERAGE(H8:H11)</f>
        <v>-0.7333990399513129</v>
      </c>
    </row>
    <row r="12" ht="20.05" customHeight="1">
      <c r="A12" s="28"/>
      <c r="B12" s="13">
        <f>1129-B11</f>
        <v>495.4</v>
      </c>
      <c r="C12" s="14"/>
      <c r="D12" s="18">
        <f>210-D11</f>
        <v>96.09999999999999</v>
      </c>
      <c r="E12" s="18">
        <f>39.7-E11</f>
        <v>19.8</v>
      </c>
      <c r="F12" s="18">
        <f>57.3-F11</f>
        <v>13.1</v>
      </c>
      <c r="G12" s="16">
        <f>B12/B11-1</f>
        <v>-0.218118686868687</v>
      </c>
      <c r="H12" s="12">
        <f>(D12+E12+F12-B12)/B12</f>
        <v>-0.73960436011304</v>
      </c>
      <c r="I12" s="16">
        <f>AVERAGE(H9:H12)</f>
        <v>-0.734710178601939</v>
      </c>
    </row>
    <row r="13" ht="20.05" customHeight="1">
      <c r="A13" s="28"/>
      <c r="B13" s="13">
        <f>1560.1-B12-B11</f>
        <v>431.1</v>
      </c>
      <c r="C13" s="14"/>
      <c r="D13" s="18">
        <f>279.8-D12-D11</f>
        <v>69.8</v>
      </c>
      <c r="E13" s="18">
        <f>59.1-E12-E11</f>
        <v>19.4</v>
      </c>
      <c r="F13" s="18">
        <f>56.3-F12-F11</f>
        <v>-1</v>
      </c>
      <c r="G13" s="16">
        <f>B13/B12-1</f>
        <v>-0.129794105773113</v>
      </c>
      <c r="H13" s="12">
        <f>(D13+E13+F13-B13)/B13</f>
        <v>-0.795407098121086</v>
      </c>
      <c r="I13" s="16">
        <f>AVERAGE(H10:H13)</f>
        <v>-0.7492753696214099</v>
      </c>
    </row>
    <row r="14" ht="20.05" customHeight="1">
      <c r="A14" s="28"/>
      <c r="B14" s="13">
        <f>2000.9-B13-B12-B11</f>
        <v>440.8</v>
      </c>
      <c r="C14" s="14"/>
      <c r="D14" s="18">
        <f>374.2-D13-D12-D11</f>
        <v>94.40000000000001</v>
      </c>
      <c r="E14" s="18">
        <f>78.5-E13-E12-E11</f>
        <v>19.4</v>
      </c>
      <c r="F14" s="18">
        <f>57.4-F13-F12-F11</f>
        <v>1.1</v>
      </c>
      <c r="G14" s="16">
        <f>B14/B13-1</f>
        <v>0.0225005799118534</v>
      </c>
      <c r="H14" s="12">
        <f>(D14+E14+F14-B14)/B14</f>
        <v>-0.739337568058076</v>
      </c>
      <c r="I14" s="16">
        <f>AVERAGE(H11:H14)</f>
        <v>-0.748353670714465</v>
      </c>
    </row>
    <row r="15" ht="20.05" customHeight="1">
      <c r="A15" s="29">
        <v>2021</v>
      </c>
      <c r="B15" s="17">
        <v>382.2</v>
      </c>
      <c r="C15" s="14"/>
      <c r="D15" s="18">
        <v>52.2</v>
      </c>
      <c r="E15" s="18">
        <v>17.5</v>
      </c>
      <c r="F15" s="18">
        <v>24.4</v>
      </c>
      <c r="G15" s="16">
        <f>B15/B14-1</f>
        <v>-0.132940108892922</v>
      </c>
      <c r="H15" s="12">
        <f>(D15+E15+F15-B15)/B15</f>
        <v>-0.753793825222397</v>
      </c>
      <c r="I15" s="16">
        <f>AVERAGE(H12:H15)</f>
        <v>-0.75703571287865</v>
      </c>
    </row>
    <row r="16" ht="20.05" customHeight="1">
      <c r="A16" s="28"/>
      <c r="B16" s="13">
        <f>757.1-B15</f>
        <v>374.9</v>
      </c>
      <c r="C16" s="18"/>
      <c r="D16" s="18">
        <f>98.9-D15</f>
        <v>46.7</v>
      </c>
      <c r="E16" s="18">
        <f>35-E15</f>
        <v>17.5</v>
      </c>
      <c r="F16" s="18">
        <f>49.8-F15</f>
        <v>25.4</v>
      </c>
      <c r="G16" s="16">
        <f>B16/B15-1</f>
        <v>-0.0190999476713762</v>
      </c>
      <c r="H16" s="12">
        <f>(D16+E16+F16-B16)/B16</f>
        <v>-0.761002934115764</v>
      </c>
      <c r="I16" s="16">
        <f>AVERAGE(H13:H16)</f>
        <v>-0.762385356379331</v>
      </c>
    </row>
    <row r="17" ht="20.05" customHeight="1">
      <c r="A17" s="28"/>
      <c r="B17" s="13">
        <f>1148.1-B16-B15</f>
        <v>391</v>
      </c>
      <c r="C17" s="18"/>
      <c r="D17" s="18">
        <f>150.2-D16-D15</f>
        <v>51.3</v>
      </c>
      <c r="E17" s="18">
        <f>52.8-E16-E15</f>
        <v>17.8</v>
      </c>
      <c r="F17" s="18">
        <f>75.6-F16-F15</f>
        <v>25.8</v>
      </c>
      <c r="G17" s="16">
        <f>B17/B16-1</f>
        <v>0.0429447852760736</v>
      </c>
      <c r="H17" s="12">
        <f>(D17+E17+F17-B17)/B17</f>
        <v>-0.7572890025575451</v>
      </c>
      <c r="I17" s="16">
        <f>AVERAGE(H14:H17)</f>
        <v>-0.752855832488446</v>
      </c>
    </row>
    <row r="18" ht="20.05" customHeight="1">
      <c r="A18" s="28"/>
      <c r="B18" s="13">
        <f>1570.98-B17-B16-B15</f>
        <v>422.88</v>
      </c>
      <c r="C18" s="18"/>
      <c r="D18" s="18">
        <f>209-D17-D16-D15</f>
        <v>58.8</v>
      </c>
      <c r="E18" s="18">
        <f>70.7-E17-E16-E15</f>
        <v>17.9</v>
      </c>
      <c r="F18" s="18">
        <f>110.6-F17-F16-F15</f>
        <v>35</v>
      </c>
      <c r="G18" s="16">
        <f>B18/B17-1</f>
        <v>0.0815345268542199</v>
      </c>
      <c r="H18" s="12">
        <f>(D18+E18+F18-B18)/B18</f>
        <v>-0.735858872493379</v>
      </c>
      <c r="I18" s="16">
        <f>AVERAGE(H15:H18)</f>
        <v>-0.751986158597271</v>
      </c>
    </row>
    <row r="19" ht="20.05" customHeight="1">
      <c r="A19" s="29">
        <v>2022</v>
      </c>
      <c r="B19" s="13"/>
      <c r="C19" s="14">
        <f>'Model'!C6</f>
        <v>418.6512</v>
      </c>
      <c r="D19" s="18"/>
      <c r="E19" s="18"/>
      <c r="F19" s="18"/>
      <c r="G19" s="12"/>
      <c r="H19" s="20"/>
      <c r="I19" s="16">
        <f>'Model'!C7</f>
        <v>-0.735858872493379</v>
      </c>
    </row>
    <row r="20" ht="20.05" customHeight="1">
      <c r="A20" s="28"/>
      <c r="B20" s="13"/>
      <c r="C20" s="14">
        <f>'Model'!D6</f>
        <v>439.58376</v>
      </c>
      <c r="D20" s="18"/>
      <c r="E20" s="18"/>
      <c r="F20" s="18"/>
      <c r="G20" s="12"/>
      <c r="H20" s="12"/>
      <c r="I20" s="16"/>
    </row>
    <row r="21" ht="20.05" customHeight="1">
      <c r="A21" s="28"/>
      <c r="B21" s="13"/>
      <c r="C21" s="14">
        <f>'Model'!E6</f>
        <v>461.562948</v>
      </c>
      <c r="D21" s="18"/>
      <c r="E21" s="18"/>
      <c r="F21" s="18"/>
      <c r="G21" s="12"/>
      <c r="H21" s="12"/>
      <c r="I21" s="16"/>
    </row>
    <row r="22" ht="20.05" customHeight="1">
      <c r="A22" s="28"/>
      <c r="B22" s="13"/>
      <c r="C22" s="14">
        <f>'Model'!F6</f>
        <v>516.95050176</v>
      </c>
      <c r="D22" s="18"/>
      <c r="E22" s="18"/>
      <c r="F22" s="18"/>
      <c r="G22" s="12"/>
      <c r="H22" s="12"/>
      <c r="I22" s="16"/>
    </row>
  </sheetData>
  <mergeCells count="1">
    <mergeCell ref="A1:I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B3:O2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91406" style="30" customWidth="1"/>
    <col min="2" max="15" width="10.2578" style="30" customWidth="1"/>
    <col min="16" max="16384" width="16.3516" style="30" customWidth="1"/>
  </cols>
  <sheetData>
    <row r="1" ht="21.1" customHeight="1"/>
    <row r="2" ht="27.65" customHeight="1">
      <c r="B2" t="s" s="2">
        <v>45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32.25" customHeight="1">
      <c r="B3" t="s" s="5">
        <v>1</v>
      </c>
      <c r="C3" t="s" s="5">
        <v>46</v>
      </c>
      <c r="D3" t="s" s="5">
        <v>8</v>
      </c>
      <c r="E3" t="s" s="5">
        <v>9</v>
      </c>
      <c r="F3" t="s" s="5">
        <v>47</v>
      </c>
      <c r="G3" t="s" s="5">
        <v>11</v>
      </c>
      <c r="H3" t="s" s="5">
        <v>12</v>
      </c>
      <c r="I3" t="s" s="5">
        <v>10</v>
      </c>
      <c r="J3" t="s" s="5">
        <v>15</v>
      </c>
      <c r="K3" t="s" s="5">
        <v>16</v>
      </c>
      <c r="L3" t="s" s="5">
        <v>17</v>
      </c>
      <c r="M3" t="s" s="5">
        <v>48</v>
      </c>
      <c r="N3" t="s" s="5">
        <v>3</v>
      </c>
      <c r="O3" t="s" s="5">
        <v>28</v>
      </c>
    </row>
    <row r="4" ht="20.25" customHeight="1">
      <c r="B4" s="23">
        <v>2018</v>
      </c>
      <c r="C4" s="31">
        <v>2138</v>
      </c>
      <c r="D4" s="25">
        <v>-662.8</v>
      </c>
      <c r="E4" s="25">
        <v>-64.90000000000001</v>
      </c>
      <c r="F4" s="25"/>
      <c r="G4" s="25">
        <v>437.3</v>
      </c>
      <c r="H4" s="25"/>
      <c r="I4" s="25">
        <f>G4+H4</f>
        <v>437.3</v>
      </c>
      <c r="J4" s="25">
        <v>684.3</v>
      </c>
      <c r="K4" s="25">
        <f>D4+E4+I4</f>
        <v>-290.4</v>
      </c>
      <c r="L4" s="25">
        <f>J4+K4</f>
        <v>393.9</v>
      </c>
      <c r="M4" s="25">
        <f>D4+E4+F4</f>
        <v>-727.7</v>
      </c>
      <c r="N4" s="25">
        <f>AVERAGE(M3:M4)</f>
        <v>-727.7</v>
      </c>
      <c r="O4" s="25">
        <f>-(G4+H4)</f>
        <v>-437.3</v>
      </c>
    </row>
    <row r="5" ht="20.05" customHeight="1">
      <c r="B5" s="28"/>
      <c r="C5" s="17">
        <f>4287.4-C4</f>
        <v>2149.4</v>
      </c>
      <c r="D5" s="18">
        <f>-1325.3-D4</f>
        <v>-662.5</v>
      </c>
      <c r="E5" s="18">
        <f>-65.2-E4</f>
        <v>-0.3</v>
      </c>
      <c r="F5" s="18"/>
      <c r="G5" s="18">
        <f>1561.6-H5-G4</f>
        <v>1175.8</v>
      </c>
      <c r="H5" s="18">
        <v>-51.5</v>
      </c>
      <c r="I5" s="18">
        <f>G5+H5</f>
        <v>1124.3</v>
      </c>
      <c r="J5" s="18">
        <f>L4</f>
        <v>393.9</v>
      </c>
      <c r="K5" s="18">
        <f>D5+E5+I5</f>
        <v>461.5</v>
      </c>
      <c r="L5" s="18">
        <f>J5+K5</f>
        <v>855.4</v>
      </c>
      <c r="M5" s="18">
        <f>D5+E5+F5</f>
        <v>-662.8</v>
      </c>
      <c r="N5" s="18">
        <f>AVERAGE(M3:M5)</f>
        <v>-695.25</v>
      </c>
      <c r="O5" s="18">
        <f>-(G5+H5)+O4</f>
        <v>-1561.6</v>
      </c>
    </row>
    <row r="6" ht="20.05" customHeight="1">
      <c r="B6" s="28"/>
      <c r="C6" s="17">
        <f>6827.7-C5-C4</f>
        <v>2540.3</v>
      </c>
      <c r="D6" s="18">
        <f>-1212.2-D5-D4</f>
        <v>113.1</v>
      </c>
      <c r="E6" s="18">
        <f>-109.9-E5-E4</f>
        <v>-44.7</v>
      </c>
      <c r="F6" s="18"/>
      <c r="G6" s="18">
        <f>1065.98-H6-H5-G5-G4</f>
        <v>-495.62</v>
      </c>
      <c r="H6" s="18">
        <v>0</v>
      </c>
      <c r="I6" s="18">
        <f>G6+H6</f>
        <v>-495.62</v>
      </c>
      <c r="J6" s="18">
        <f>L5</f>
        <v>855.4</v>
      </c>
      <c r="K6" s="18">
        <f>D6+E6+I6</f>
        <v>-427.22</v>
      </c>
      <c r="L6" s="18">
        <f>J6+K6</f>
        <v>428.18</v>
      </c>
      <c r="M6" s="18">
        <f>D6+E6+F6</f>
        <v>68.40000000000001</v>
      </c>
      <c r="N6" s="18">
        <f>AVERAGE(M3:M6)</f>
        <v>-440.7</v>
      </c>
      <c r="O6" s="18">
        <f>-(G6+H6)+O5</f>
        <v>-1065.98</v>
      </c>
    </row>
    <row r="7" ht="20.05" customHeight="1">
      <c r="B7" s="28"/>
      <c r="C7" s="17">
        <f>10023.5-C6-C5-C4</f>
        <v>3195.8</v>
      </c>
      <c r="D7" s="18">
        <f>-215-D6-D5-D4</f>
        <v>997.2</v>
      </c>
      <c r="E7" s="18">
        <f>-110.9-E6-E5-E4</f>
        <v>-1</v>
      </c>
      <c r="F7" s="18"/>
      <c r="G7" s="18">
        <f>885.3-H7-H6-H5-G6-G5-G4</f>
        <v>-180.68</v>
      </c>
      <c r="H7" s="18">
        <v>0</v>
      </c>
      <c r="I7" s="18">
        <f>G7+H7</f>
        <v>-180.68</v>
      </c>
      <c r="J7" s="18">
        <f>L6</f>
        <v>428.18</v>
      </c>
      <c r="K7" s="18">
        <f>D7+E7+I7</f>
        <v>815.52</v>
      </c>
      <c r="L7" s="18">
        <f>J7+K7</f>
        <v>1243.7</v>
      </c>
      <c r="M7" s="18">
        <f>D7+E7+F7</f>
        <v>996.2</v>
      </c>
      <c r="N7" s="18">
        <f>AVERAGE(M4:M7)</f>
        <v>-81.47499999999999</v>
      </c>
      <c r="O7" s="18">
        <f>-(G7+H7)+O6</f>
        <v>-885.3</v>
      </c>
    </row>
    <row r="8" ht="20.05" customHeight="1">
      <c r="B8" s="29">
        <v>2019</v>
      </c>
      <c r="C8" s="17">
        <v>2238.7</v>
      </c>
      <c r="D8" s="18">
        <v>163.2</v>
      </c>
      <c r="E8" s="18">
        <v>-13.5</v>
      </c>
      <c r="F8" s="18"/>
      <c r="G8" s="18">
        <v>-199.3</v>
      </c>
      <c r="H8" s="18">
        <v>0</v>
      </c>
      <c r="I8" s="18">
        <f>G8+H8</f>
        <v>-199.3</v>
      </c>
      <c r="J8" s="18">
        <f>L7</f>
        <v>1243.7</v>
      </c>
      <c r="K8" s="18">
        <f>D8+E8+I8</f>
        <v>-49.6</v>
      </c>
      <c r="L8" s="18">
        <f>J8+K8</f>
        <v>1194.1</v>
      </c>
      <c r="M8" s="18">
        <f>D8+E8+F8</f>
        <v>149.7</v>
      </c>
      <c r="N8" s="18">
        <f>AVERAGE(M7:M8)</f>
        <v>572.95</v>
      </c>
      <c r="O8" s="18">
        <f>-(G8+H8)+O7</f>
        <v>-686</v>
      </c>
    </row>
    <row r="9" ht="20.05" customHeight="1">
      <c r="B9" s="28"/>
      <c r="C9" s="17">
        <f>4398.2-C8</f>
        <v>2159.5</v>
      </c>
      <c r="D9" s="18">
        <f>128.7-D8</f>
        <v>-34.5</v>
      </c>
      <c r="E9" s="18">
        <f>-26.3-E8</f>
        <v>-12.8</v>
      </c>
      <c r="F9" s="18"/>
      <c r="G9" s="18">
        <f>-468.9-H9-G8</f>
        <v>-208.2</v>
      </c>
      <c r="H9" s="18">
        <v>-61.4</v>
      </c>
      <c r="I9" s="18">
        <f>G9+H9</f>
        <v>-269.6</v>
      </c>
      <c r="J9" s="18">
        <f>L8</f>
        <v>1194.1</v>
      </c>
      <c r="K9" s="18">
        <f>D9+E9+I9</f>
        <v>-316.9</v>
      </c>
      <c r="L9" s="18">
        <f>J9+K9</f>
        <v>877.2</v>
      </c>
      <c r="M9" s="18">
        <f>D9+E9+F9</f>
        <v>-47.3</v>
      </c>
      <c r="N9" s="18">
        <f>AVERAGE(M7:M9)</f>
        <v>366.2</v>
      </c>
      <c r="O9" s="18">
        <f>-(G9+H9)+O8</f>
        <v>-416.4</v>
      </c>
    </row>
    <row r="10" ht="20.05" customHeight="1">
      <c r="B10" s="28"/>
      <c r="C10" s="17">
        <f>6652.6-C9-C8</f>
        <v>2254.4</v>
      </c>
      <c r="D10" s="18">
        <f>213.4-D9-D8</f>
        <v>84.7</v>
      </c>
      <c r="E10" s="18">
        <f>-33.7-E9-E8</f>
        <v>-7.4</v>
      </c>
      <c r="F10" s="18"/>
      <c r="G10" s="18">
        <f>-763.4-H9-G9-G8</f>
        <v>-294.5</v>
      </c>
      <c r="H10" s="18">
        <v>0</v>
      </c>
      <c r="I10" s="18">
        <f>G10+H10</f>
        <v>-294.5</v>
      </c>
      <c r="J10" s="18">
        <f>L9</f>
        <v>877.2</v>
      </c>
      <c r="K10" s="18">
        <f>D10+E10+I10</f>
        <v>-217.2</v>
      </c>
      <c r="L10" s="18">
        <f>J10+K10</f>
        <v>660</v>
      </c>
      <c r="M10" s="18">
        <f>D10+E10+F10</f>
        <v>77.3</v>
      </c>
      <c r="N10" s="18">
        <f>AVERAGE(M7:M10)</f>
        <v>293.975</v>
      </c>
      <c r="O10" s="18">
        <f>-(G10+H10)+O9</f>
        <v>-121.9</v>
      </c>
    </row>
    <row r="11" ht="20.05" customHeight="1">
      <c r="B11" s="28"/>
      <c r="C11" s="17">
        <f>9077.4-C10-C9-C8</f>
        <v>2424.8</v>
      </c>
      <c r="D11" s="18">
        <f>331.4-D10-D9-D8</f>
        <v>118</v>
      </c>
      <c r="E11" s="18">
        <f>-40.4-E10-E9-E8</f>
        <v>-6.7</v>
      </c>
      <c r="F11" s="18"/>
      <c r="G11" s="18">
        <f>-783.1-H9-G10-G9-G8</f>
        <v>-19.7</v>
      </c>
      <c r="H11" s="18">
        <v>0</v>
      </c>
      <c r="I11" s="18">
        <f>G11+H11</f>
        <v>-19.7</v>
      </c>
      <c r="J11" s="18">
        <f>L10</f>
        <v>660</v>
      </c>
      <c r="K11" s="18">
        <f>D11+E11+I11</f>
        <v>91.59999999999999</v>
      </c>
      <c r="L11" s="18">
        <f>J11+K11</f>
        <v>751.6</v>
      </c>
      <c r="M11" s="18">
        <f>D11+E11+F11</f>
        <v>111.3</v>
      </c>
      <c r="N11" s="18">
        <f>AVERAGE(M8:M11)</f>
        <v>72.75</v>
      </c>
      <c r="O11" s="18">
        <f>-(G11+H11)+O10</f>
        <v>-102.2</v>
      </c>
    </row>
    <row r="12" ht="20.05" customHeight="1">
      <c r="B12" s="29">
        <v>2020</v>
      </c>
      <c r="C12" s="17">
        <v>2257.6</v>
      </c>
      <c r="D12" s="18">
        <v>196.2</v>
      </c>
      <c r="E12" s="18">
        <v>-21.2</v>
      </c>
      <c r="F12" s="18">
        <v>-4.3</v>
      </c>
      <c r="G12" s="18">
        <f>1200-1184.4</f>
        <v>15.6</v>
      </c>
      <c r="H12" s="18">
        <v>0</v>
      </c>
      <c r="I12" s="18">
        <f>G12+H12+F12</f>
        <v>11.3</v>
      </c>
      <c r="J12" s="18">
        <f>L11</f>
        <v>751.6</v>
      </c>
      <c r="K12" s="18">
        <f>D12+E12+I12</f>
        <v>186.3</v>
      </c>
      <c r="L12" s="18">
        <f>J12+K12</f>
        <v>937.9</v>
      </c>
      <c r="M12" s="18">
        <f>D12+E12+F12</f>
        <v>170.7</v>
      </c>
      <c r="N12" s="18">
        <f>AVERAGE(M11:M12)</f>
        <v>141</v>
      </c>
      <c r="O12" s="18">
        <f>-(G12+H12)+O11</f>
        <v>-117.8</v>
      </c>
    </row>
    <row r="13" ht="20.05" customHeight="1">
      <c r="B13" s="28"/>
      <c r="C13" s="17">
        <f>3957.6-C12</f>
        <v>1700</v>
      </c>
      <c r="D13" s="18">
        <f>1244.3-D12</f>
        <v>1048.1</v>
      </c>
      <c r="E13" s="18">
        <f>-22.1-E12</f>
        <v>-0.9</v>
      </c>
      <c r="F13" s="18">
        <f>-5-F12</f>
        <v>-0.7</v>
      </c>
      <c r="G13" s="18">
        <f>-1315.6-F13-F12-G12-H13</f>
        <v>-1248.9</v>
      </c>
      <c r="H13" s="18">
        <v>-77.3</v>
      </c>
      <c r="I13" s="18">
        <f>G13+H13+F13</f>
        <v>-1326.9</v>
      </c>
      <c r="J13" s="18">
        <f>L12</f>
        <v>937.9</v>
      </c>
      <c r="K13" s="18">
        <f>D13+E13+I13</f>
        <v>-279.7</v>
      </c>
      <c r="L13" s="18">
        <f>J13+K13</f>
        <v>658.2</v>
      </c>
      <c r="M13" s="18">
        <f>D13+E13+F13</f>
        <v>1046.5</v>
      </c>
      <c r="N13" s="18">
        <f>AVERAGE(M11:M13)</f>
        <v>442.833333333333</v>
      </c>
      <c r="O13" s="18">
        <f>-(G13+H13)+O12</f>
        <v>1208.4</v>
      </c>
    </row>
    <row r="14" ht="20.05" customHeight="1">
      <c r="B14" s="28"/>
      <c r="C14" s="17">
        <f>5491.7-C13-C12</f>
        <v>1534.1</v>
      </c>
      <c r="D14" s="18">
        <f>2175.6-D13-D12</f>
        <v>931.3</v>
      </c>
      <c r="E14" s="18">
        <f>-29.8-E13-E12</f>
        <v>-7.7</v>
      </c>
      <c r="F14" s="18">
        <f>-7.5-F13-F12</f>
        <v>-2.5</v>
      </c>
      <c r="G14" s="18">
        <f>-1826.96-H13-G13-G12-F14-F13-F12</f>
        <v>-508.86</v>
      </c>
      <c r="H14" s="18">
        <v>0</v>
      </c>
      <c r="I14" s="18">
        <f>G14+H14+F14</f>
        <v>-511.36</v>
      </c>
      <c r="J14" s="18">
        <f>L13</f>
        <v>658.2</v>
      </c>
      <c r="K14" s="18">
        <f>D14+E14+I14</f>
        <v>412.24</v>
      </c>
      <c r="L14" s="18">
        <f>J14+K14</f>
        <v>1070.44</v>
      </c>
      <c r="M14" s="18">
        <f>D14+E14+F14</f>
        <v>921.1</v>
      </c>
      <c r="N14" s="18">
        <f>AVERAGE(M11:M14)</f>
        <v>562.4</v>
      </c>
      <c r="O14" s="18">
        <f>-(G14+H14)+O13</f>
        <v>1717.26</v>
      </c>
    </row>
    <row r="15" ht="20.05" customHeight="1">
      <c r="B15" s="28"/>
      <c r="C15" s="17">
        <f>7076.6-C14-C13-C12</f>
        <v>1584.9</v>
      </c>
      <c r="D15" s="18">
        <f>2749.4-D14-D13-D12</f>
        <v>573.8</v>
      </c>
      <c r="E15" s="18">
        <f>-38.2-E14-E13-E12</f>
        <v>-8.4</v>
      </c>
      <c r="F15" s="18">
        <f>-11.6-F14-F13-F12</f>
        <v>-4.1</v>
      </c>
      <c r="G15" s="18">
        <f>-2826.7-F15-F14-F13-F12-G14-G13-G12-H13</f>
        <v>-995.64</v>
      </c>
      <c r="H15" s="18">
        <v>0</v>
      </c>
      <c r="I15" s="18">
        <f>G15+H15+F15</f>
        <v>-999.74</v>
      </c>
      <c r="J15" s="18">
        <f>L14</f>
        <v>1070.44</v>
      </c>
      <c r="K15" s="18">
        <f>D15+E15+I15</f>
        <v>-434.34</v>
      </c>
      <c r="L15" s="18">
        <f>J15+K15</f>
        <v>636.1</v>
      </c>
      <c r="M15" s="18">
        <f>D15+E15+F15</f>
        <v>561.3</v>
      </c>
      <c r="N15" s="18">
        <f>AVERAGE(M12:M15)</f>
        <v>674.9</v>
      </c>
      <c r="O15" s="18">
        <f>-(G15+H15)+O14</f>
        <v>2712.9</v>
      </c>
    </row>
    <row r="16" ht="20.05" customHeight="1">
      <c r="B16" s="29">
        <v>2021</v>
      </c>
      <c r="C16" s="17">
        <v>1354.8</v>
      </c>
      <c r="D16" s="18">
        <v>277.1</v>
      </c>
      <c r="E16" s="18">
        <v>-6.9</v>
      </c>
      <c r="F16" s="18">
        <v>-1.98</v>
      </c>
      <c r="G16" s="18">
        <f>50-609.1</f>
        <v>-559.1</v>
      </c>
      <c r="H16" s="18"/>
      <c r="I16" s="18">
        <f>G16+H16+F16</f>
        <v>-561.08</v>
      </c>
      <c r="J16" s="18">
        <f>L15</f>
        <v>636.1</v>
      </c>
      <c r="K16" s="18">
        <f>D16+E16+I16</f>
        <v>-290.88</v>
      </c>
      <c r="L16" s="18">
        <f>J16+K16</f>
        <v>345.22</v>
      </c>
      <c r="M16" s="18">
        <f>D16+E16+F16</f>
        <v>268.22</v>
      </c>
      <c r="N16" s="18">
        <f>AVERAGE(M15:M16)</f>
        <v>414.76</v>
      </c>
      <c r="O16" s="18">
        <f>-(G16+H16)+O15</f>
        <v>3272</v>
      </c>
    </row>
    <row r="17" ht="20.05" customHeight="1">
      <c r="B17" s="28"/>
      <c r="C17" s="17">
        <f>2695.9-C16</f>
        <v>1341.1</v>
      </c>
      <c r="D17" s="18">
        <f>287.6-D16</f>
        <v>10.5</v>
      </c>
      <c r="E17" s="18">
        <f>-22.6-E16</f>
        <v>-15.7</v>
      </c>
      <c r="F17" s="18">
        <f>-7.2-F16</f>
        <v>-5.22</v>
      </c>
      <c r="G17" s="18">
        <f>-717.5-F17-F16-G16</f>
        <v>-151.2</v>
      </c>
      <c r="H17" s="18"/>
      <c r="I17" s="18">
        <f>G17+H17+F17</f>
        <v>-156.42</v>
      </c>
      <c r="J17" s="18">
        <f>L16</f>
        <v>345.22</v>
      </c>
      <c r="K17" s="18">
        <f>D17+E17+I17</f>
        <v>-161.62</v>
      </c>
      <c r="L17" s="18">
        <f>J17+K17</f>
        <v>183.6</v>
      </c>
      <c r="M17" s="18">
        <f>D17+E17+F17</f>
        <v>-10.42</v>
      </c>
      <c r="N17" s="18">
        <f>AVERAGE(M15:M17)</f>
        <v>273.033333333333</v>
      </c>
      <c r="O17" s="18">
        <f>-(G17+H17)+O16</f>
        <v>3423.2</v>
      </c>
    </row>
    <row r="18" ht="20.05" customHeight="1">
      <c r="B18" s="28"/>
      <c r="C18" s="17">
        <f>4062.1-C17-C16</f>
        <v>1366.2</v>
      </c>
      <c r="D18" s="18">
        <f>219.7-D17-D16</f>
        <v>-67.90000000000001</v>
      </c>
      <c r="E18" s="18">
        <f>-39.6-E17-E16</f>
        <v>-17</v>
      </c>
      <c r="F18" s="18">
        <f>-9.9-F17-F16</f>
        <v>-2.7</v>
      </c>
      <c r="G18" s="18">
        <f>-565.4-F18-F17-F16-G17-G16</f>
        <v>154.8</v>
      </c>
      <c r="H18" s="18"/>
      <c r="I18" s="18">
        <f>G18+H18+F18</f>
        <v>152.1</v>
      </c>
      <c r="J18" s="18">
        <f>L17</f>
        <v>183.6</v>
      </c>
      <c r="K18" s="18">
        <f>D18+E18+I18</f>
        <v>67.2</v>
      </c>
      <c r="L18" s="18">
        <f>J18+K18</f>
        <v>250.8</v>
      </c>
      <c r="M18" s="18">
        <f>D18+E18+F18</f>
        <v>-87.59999999999999</v>
      </c>
      <c r="N18" s="18">
        <f>AVERAGE(M15:M18)</f>
        <v>182.875</v>
      </c>
      <c r="O18" s="18">
        <f>-(G18+H18)+O17</f>
        <v>3268.4</v>
      </c>
    </row>
    <row r="19" ht="20.05" customHeight="1">
      <c r="B19" s="28"/>
      <c r="C19" s="17">
        <f>5510-C18-C17-C16</f>
        <v>1447.9</v>
      </c>
      <c r="D19" s="18">
        <f>131.66-D18-D17-D16</f>
        <v>-88.04000000000001</v>
      </c>
      <c r="E19" s="18">
        <f>-46.2-E18-E17-E16</f>
        <v>-6.6</v>
      </c>
      <c r="F19" s="18">
        <f>-14.2-F18-F17-F16</f>
        <v>-4.3</v>
      </c>
      <c r="G19" s="18">
        <f>-271.5-F19-F18-F17-F16-G18-G17-G16</f>
        <v>298.2</v>
      </c>
      <c r="H19" s="18"/>
      <c r="I19" s="18">
        <f>G19+H19+F19</f>
        <v>293.9</v>
      </c>
      <c r="J19" s="18">
        <f>L18</f>
        <v>250.8</v>
      </c>
      <c r="K19" s="18">
        <f>D19+E19+I19</f>
        <v>199.26</v>
      </c>
      <c r="L19" s="18">
        <f>J19+K19</f>
        <v>450.06</v>
      </c>
      <c r="M19" s="18">
        <f>D19+E19+F19</f>
        <v>-98.94</v>
      </c>
      <c r="N19" s="18">
        <f>AVERAGE(M16:M19)</f>
        <v>17.815</v>
      </c>
      <c r="O19" s="18">
        <f>-(G19+H19)+O18</f>
        <v>2970.2</v>
      </c>
    </row>
    <row r="20" ht="20.05" customHeight="1">
      <c r="B20" s="29">
        <v>2022</v>
      </c>
      <c r="C20" s="17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>
        <f>SUM('Model'!C9:F10)/4</f>
        <v>114.690198975</v>
      </c>
      <c r="O20" s="18">
        <f>'Model'!F33</f>
        <v>3428.9607959</v>
      </c>
    </row>
    <row r="21" ht="20.05" customHeight="1">
      <c r="B21" s="2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ht="20.05" customHeight="1">
      <c r="B22" s="2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ht="20.05" customHeight="1">
      <c r="B23" s="2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</sheetData>
  <mergeCells count="1">
    <mergeCell ref="B2:O2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0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17188" style="32" customWidth="1"/>
    <col min="2" max="11" width="9.85156" style="32" customWidth="1"/>
    <col min="12" max="16384" width="16.3516" style="32" customWidth="1"/>
  </cols>
  <sheetData>
    <row r="1" ht="12" customHeight="1"/>
    <row r="2" ht="27.65" customHeight="1">
      <c r="B2" t="s" s="2">
        <v>21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49</v>
      </c>
      <c r="D3" t="s" s="5">
        <v>50</v>
      </c>
      <c r="E3" t="s" s="5">
        <v>51</v>
      </c>
      <c r="F3" t="s" s="5">
        <v>23</v>
      </c>
      <c r="G3" t="s" s="5">
        <v>11</v>
      </c>
      <c r="H3" t="s" s="5">
        <v>12</v>
      </c>
      <c r="I3" t="s" s="5">
        <v>52</v>
      </c>
      <c r="J3" t="s" s="5">
        <v>53</v>
      </c>
      <c r="K3" t="s" s="5">
        <v>33</v>
      </c>
    </row>
    <row r="4" ht="20.25" customHeight="1">
      <c r="B4" s="23">
        <v>2018</v>
      </c>
      <c r="C4" s="31">
        <f>'Cashflow '!L4</f>
        <v>393.9</v>
      </c>
      <c r="D4" s="25">
        <v>8177</v>
      </c>
      <c r="E4" s="25">
        <f>D4-C4</f>
        <v>7783.1</v>
      </c>
      <c r="F4" s="25"/>
      <c r="G4" s="25">
        <v>7133</v>
      </c>
      <c r="H4" s="25">
        <f>D4-G4</f>
        <v>1044</v>
      </c>
      <c r="I4" s="25">
        <f>G4+H4-C4-E4</f>
        <v>0</v>
      </c>
      <c r="J4" s="25">
        <f>C4-G4</f>
        <v>-6739.1</v>
      </c>
      <c r="K4" s="25"/>
    </row>
    <row r="5" ht="20.05" customHeight="1">
      <c r="B5" s="28"/>
      <c r="C5" s="17">
        <f>'Cashflow '!L5</f>
        <v>855.4</v>
      </c>
      <c r="D5" s="18">
        <v>9330.700000000001</v>
      </c>
      <c r="E5" s="18">
        <f>D5-C5</f>
        <v>8475.299999999999</v>
      </c>
      <c r="F5" s="18"/>
      <c r="G5" s="18">
        <v>8277.5</v>
      </c>
      <c r="H5" s="18">
        <f>D5-G5</f>
        <v>1053.2</v>
      </c>
      <c r="I5" s="18">
        <f>G5+H5-C5-E5</f>
        <v>0</v>
      </c>
      <c r="J5" s="18">
        <f>C5-G5</f>
        <v>-7422.1</v>
      </c>
      <c r="K5" s="18"/>
    </row>
    <row r="6" ht="20.05" customHeight="1">
      <c r="B6" s="28"/>
      <c r="C6" s="17">
        <f>'Cashflow '!L6</f>
        <v>428.18</v>
      </c>
      <c r="D6" s="18">
        <v>8905.299999999999</v>
      </c>
      <c r="E6" s="18">
        <f>D6-C6</f>
        <v>8477.120000000001</v>
      </c>
      <c r="F6" s="18"/>
      <c r="G6" s="18">
        <v>7805.3</v>
      </c>
      <c r="H6" s="18">
        <f>D6-G6</f>
        <v>1100</v>
      </c>
      <c r="I6" s="18">
        <f>G6+H6-C6-E6</f>
        <v>0</v>
      </c>
      <c r="J6" s="18">
        <f>C6-G6</f>
        <v>-7377.12</v>
      </c>
      <c r="K6" s="18"/>
    </row>
    <row r="7" ht="20.05" customHeight="1">
      <c r="B7" s="28"/>
      <c r="C7" s="17">
        <f>'Cashflow '!L7</f>
        <v>1243.7</v>
      </c>
      <c r="D7" s="18">
        <v>8827.299999999999</v>
      </c>
      <c r="E7" s="18">
        <f>D7-C7</f>
        <v>7583.6</v>
      </c>
      <c r="F7" s="18"/>
      <c r="G7" s="18">
        <v>7655.7</v>
      </c>
      <c r="H7" s="18">
        <f>D7-G7</f>
        <v>1171.6</v>
      </c>
      <c r="I7" s="18">
        <f>G7+H7-C7-E7</f>
        <v>0</v>
      </c>
      <c r="J7" s="18">
        <f>C7-G7</f>
        <v>-6412</v>
      </c>
      <c r="K7" s="18"/>
    </row>
    <row r="8" ht="20.05" customHeight="1">
      <c r="B8" s="29">
        <v>2019</v>
      </c>
      <c r="C8" s="17">
        <f>'Cashflow '!L8</f>
        <v>1194.1</v>
      </c>
      <c r="D8" s="18">
        <v>8667.700000000001</v>
      </c>
      <c r="E8" s="18">
        <f>D8-C8</f>
        <v>7473.6</v>
      </c>
      <c r="F8" s="18"/>
      <c r="G8" s="18">
        <v>7517.1</v>
      </c>
      <c r="H8" s="18">
        <f>D8-G8</f>
        <v>1150.6</v>
      </c>
      <c r="I8" s="18">
        <f>G8+H8-C8-E8</f>
        <v>0</v>
      </c>
      <c r="J8" s="18">
        <f>C8-G8</f>
        <v>-6323</v>
      </c>
      <c r="K8" s="18"/>
    </row>
    <row r="9" ht="20.05" customHeight="1">
      <c r="B9" s="28"/>
      <c r="C9" s="17">
        <f>'Cashflow '!L9</f>
        <v>877.2</v>
      </c>
      <c r="D9" s="18">
        <v>8360.799999999999</v>
      </c>
      <c r="E9" s="18">
        <f>D9-C9</f>
        <v>7483.6</v>
      </c>
      <c r="F9" s="18"/>
      <c r="G9" s="18">
        <v>7168.5</v>
      </c>
      <c r="H9" s="18">
        <f>D9-G9</f>
        <v>1192.3</v>
      </c>
      <c r="I9" s="18">
        <f>G9+H9-C9-E9</f>
        <v>0</v>
      </c>
      <c r="J9" s="18">
        <f>C9-G9</f>
        <v>-6291.3</v>
      </c>
      <c r="K9" s="18"/>
    </row>
    <row r="10" ht="20.05" customHeight="1">
      <c r="B10" s="28"/>
      <c r="C10" s="17">
        <f>'Cashflow '!L10</f>
        <v>660</v>
      </c>
      <c r="D10" s="18">
        <v>8167.1</v>
      </c>
      <c r="E10" s="18">
        <f>D10-C10</f>
        <v>7507.1</v>
      </c>
      <c r="F10" s="18"/>
      <c r="G10" s="18">
        <v>6897.4</v>
      </c>
      <c r="H10" s="18">
        <f>D10-G10</f>
        <v>1269.7</v>
      </c>
      <c r="I10" s="18">
        <f>G10+H10-C10-E10</f>
        <v>0</v>
      </c>
      <c r="J10" s="18">
        <f>C10-G10</f>
        <v>-6237.4</v>
      </c>
      <c r="K10" s="18"/>
    </row>
    <row r="11" ht="20.05" customHeight="1">
      <c r="B11" s="28"/>
      <c r="C11" s="17">
        <f>'Cashflow '!L11</f>
        <v>751.6</v>
      </c>
      <c r="D11" s="18">
        <v>8271.200000000001</v>
      </c>
      <c r="E11" s="18">
        <f>D11-C11</f>
        <v>7519.6</v>
      </c>
      <c r="F11" s="18"/>
      <c r="G11" s="18">
        <v>6900.6</v>
      </c>
      <c r="H11" s="18">
        <f>D11-G11</f>
        <v>1370.6</v>
      </c>
      <c r="I11" s="18">
        <f>G11+H11-C11-E11</f>
        <v>0</v>
      </c>
      <c r="J11" s="18">
        <f>C11-G11</f>
        <v>-6149</v>
      </c>
      <c r="K11" s="18"/>
    </row>
    <row r="12" ht="20.05" customHeight="1">
      <c r="B12" s="29">
        <v>2020</v>
      </c>
      <c r="C12" s="17">
        <f>'Cashflow '!L12</f>
        <v>937.9</v>
      </c>
      <c r="D12" s="18">
        <v>8166.1</v>
      </c>
      <c r="E12" s="18">
        <f>D12-C12</f>
        <v>7228.2</v>
      </c>
      <c r="F12" s="18"/>
      <c r="G12" s="18">
        <v>6981</v>
      </c>
      <c r="H12" s="18">
        <f>D12-G12</f>
        <v>1185.1</v>
      </c>
      <c r="I12" s="18">
        <f>G12+H12-C12-E12</f>
        <v>0</v>
      </c>
      <c r="J12" s="18">
        <f>C12-G12</f>
        <v>-6043.1</v>
      </c>
      <c r="K12" s="18"/>
    </row>
    <row r="13" ht="20.05" customHeight="1">
      <c r="B13" s="28"/>
      <c r="C13" s="17">
        <f>'Cashflow '!L13</f>
        <v>658.2</v>
      </c>
      <c r="D13" s="18">
        <v>6762.2</v>
      </c>
      <c r="E13" s="18">
        <f>D13-C13</f>
        <v>6104</v>
      </c>
      <c r="F13" s="18"/>
      <c r="G13" s="18">
        <v>5565.7</v>
      </c>
      <c r="H13" s="18">
        <f>D13-G13</f>
        <v>1196.5</v>
      </c>
      <c r="I13" s="18">
        <f>G13+H13-C13-E13</f>
        <v>0</v>
      </c>
      <c r="J13" s="18">
        <f>C13-G13</f>
        <v>-4907.5</v>
      </c>
      <c r="K13" s="18"/>
    </row>
    <row r="14" ht="20.05" customHeight="1">
      <c r="B14" s="28"/>
      <c r="C14" s="17">
        <f>'Cashflow '!L14</f>
        <v>1070.44</v>
      </c>
      <c r="D14" s="18">
        <v>6269.7</v>
      </c>
      <c r="E14" s="18">
        <f>D14-C14</f>
        <v>5199.26</v>
      </c>
      <c r="F14" s="18"/>
      <c r="G14" s="18">
        <v>5074.2</v>
      </c>
      <c r="H14" s="18">
        <f>D14-G14</f>
        <v>1195.5</v>
      </c>
      <c r="I14" s="18">
        <f>G14+H14-C14-E14</f>
        <v>0</v>
      </c>
      <c r="J14" s="18">
        <f>C14-G14</f>
        <v>-4003.76</v>
      </c>
      <c r="K14" s="18"/>
    </row>
    <row r="15" ht="20.05" customHeight="1">
      <c r="B15" s="28"/>
      <c r="C15" s="17">
        <f>'Cashflow '!L15</f>
        <v>636.1</v>
      </c>
      <c r="D15" s="18">
        <v>5283.7</v>
      </c>
      <c r="E15" s="18">
        <f>D15-C15</f>
        <v>4647.6</v>
      </c>
      <c r="F15" s="18"/>
      <c r="G15" s="18">
        <v>4070.4</v>
      </c>
      <c r="H15" s="18">
        <f>D15-G15</f>
        <v>1213.3</v>
      </c>
      <c r="I15" s="18">
        <f>G15+H15-C15-E15</f>
        <v>0</v>
      </c>
      <c r="J15" s="18">
        <f>C15-G15</f>
        <v>-3434.3</v>
      </c>
      <c r="K15" s="18"/>
    </row>
    <row r="16" ht="20.05" customHeight="1">
      <c r="B16" s="29">
        <v>2021</v>
      </c>
      <c r="C16" s="17">
        <f>'Cashflow '!L16</f>
        <v>345.22</v>
      </c>
      <c r="D16" s="18">
        <v>4770.1</v>
      </c>
      <c r="E16" s="18">
        <f>D16-C16</f>
        <v>4424.88</v>
      </c>
      <c r="F16" s="18"/>
      <c r="G16" s="18">
        <v>3532.4</v>
      </c>
      <c r="H16" s="18">
        <f>D16-G16</f>
        <v>1237.7</v>
      </c>
      <c r="I16" s="18">
        <f>G16+H16-C16-E16</f>
        <v>0</v>
      </c>
      <c r="J16" s="18">
        <f>C16-G16</f>
        <v>-3187.18</v>
      </c>
      <c r="K16" s="18"/>
    </row>
    <row r="17" ht="20.05" customHeight="1">
      <c r="B17" s="28"/>
      <c r="C17" s="17">
        <f>'Cashflow '!L17</f>
        <v>183.6</v>
      </c>
      <c r="D17" s="18">
        <v>4623.2</v>
      </c>
      <c r="E17" s="18">
        <f>D17-C17</f>
        <v>4439.6</v>
      </c>
      <c r="F17" s="18"/>
      <c r="G17" s="18">
        <v>3360.1</v>
      </c>
      <c r="H17" s="18">
        <f>D17-G17</f>
        <v>1263.1</v>
      </c>
      <c r="I17" s="18">
        <f>G17+H17-C17-E17</f>
        <v>0</v>
      </c>
      <c r="J17" s="18">
        <f>C17-G17</f>
        <v>-3176.5</v>
      </c>
      <c r="K17" s="18"/>
    </row>
    <row r="18" ht="20.05" customHeight="1">
      <c r="B18" s="28"/>
      <c r="C18" s="17">
        <f>'Cashflow '!L18</f>
        <v>250.8</v>
      </c>
      <c r="D18" s="18">
        <v>4823.8</v>
      </c>
      <c r="E18" s="18">
        <f>D18-C18</f>
        <v>4573</v>
      </c>
      <c r="F18" s="18"/>
      <c r="G18" s="18">
        <v>3534.8</v>
      </c>
      <c r="H18" s="18">
        <f>D18-G18</f>
        <v>1289</v>
      </c>
      <c r="I18" s="18">
        <f>G18+H18-C18-E18</f>
        <v>0</v>
      </c>
      <c r="J18" s="18">
        <f>C18-G18</f>
        <v>-3284</v>
      </c>
      <c r="K18" s="18"/>
    </row>
    <row r="19" ht="20.05" customHeight="1">
      <c r="B19" s="28"/>
      <c r="C19" s="17">
        <f>'Cashflow '!L19</f>
        <v>450.06</v>
      </c>
      <c r="D19" s="18">
        <v>5151.1</v>
      </c>
      <c r="E19" s="18">
        <f>D19-C19</f>
        <v>4701.04</v>
      </c>
      <c r="F19" s="18">
        <f>522+45+98</f>
        <v>665</v>
      </c>
      <c r="G19" s="18">
        <v>3817.4</v>
      </c>
      <c r="H19" s="18">
        <f>D19-G19</f>
        <v>1333.7</v>
      </c>
      <c r="I19" s="18">
        <f>G19+H19-C19-E19</f>
        <v>0</v>
      </c>
      <c r="J19" s="18">
        <f>C19-G19</f>
        <v>-3367.34</v>
      </c>
      <c r="K19" s="18">
        <f>J19</f>
        <v>-3367.34</v>
      </c>
    </row>
    <row r="20" ht="20.05" customHeight="1">
      <c r="B20" s="29">
        <v>2022</v>
      </c>
      <c r="C20" s="17"/>
      <c r="D20" s="18"/>
      <c r="E20" s="18"/>
      <c r="F20" s="18"/>
      <c r="G20" s="18"/>
      <c r="H20" s="18"/>
      <c r="I20" s="18"/>
      <c r="J20" s="18"/>
      <c r="K20" s="18">
        <f>'Model'!F31</f>
        <v>-3095.34744287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2:D20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8.91406" style="33" customWidth="1"/>
    <col min="2" max="4" width="11.8906" style="33" customWidth="1"/>
    <col min="5" max="16384" width="16.3516" style="33" customWidth="1"/>
  </cols>
  <sheetData>
    <row r="1" ht="27.65" customHeight="1">
      <c r="A1" t="s" s="2">
        <v>54</v>
      </c>
      <c r="B1" s="2"/>
      <c r="C1" s="2"/>
      <c r="D1" s="2"/>
    </row>
    <row r="2" ht="20.25" customHeight="1">
      <c r="A2" s="4"/>
      <c r="B2" t="s" s="5">
        <v>55</v>
      </c>
      <c r="C2" t="s" s="5">
        <v>56</v>
      </c>
      <c r="D2" t="s" s="5">
        <v>57</v>
      </c>
    </row>
    <row r="3" ht="20.25" customHeight="1">
      <c r="A3" s="23">
        <v>2018</v>
      </c>
      <c r="B3" s="31">
        <v>288</v>
      </c>
      <c r="C3" s="8"/>
      <c r="D3" s="8"/>
    </row>
    <row r="4" ht="20.05" customHeight="1">
      <c r="A4" s="28"/>
      <c r="B4" s="17">
        <v>278</v>
      </c>
      <c r="C4" s="20"/>
      <c r="D4" s="20"/>
    </row>
    <row r="5" ht="20.05" customHeight="1">
      <c r="A5" s="28"/>
      <c r="B5" s="17">
        <v>290</v>
      </c>
      <c r="C5" s="20"/>
      <c r="D5" s="20"/>
    </row>
    <row r="6" ht="20.05" customHeight="1">
      <c r="A6" s="28"/>
      <c r="B6" s="17">
        <v>312</v>
      </c>
      <c r="C6" s="20"/>
      <c r="D6" s="20"/>
    </row>
    <row r="7" ht="20.05" customHeight="1">
      <c r="A7" s="29">
        <v>2019</v>
      </c>
      <c r="B7" s="17">
        <v>350</v>
      </c>
      <c r="C7" s="20"/>
      <c r="D7" s="20"/>
    </row>
    <row r="8" ht="20.05" customHeight="1">
      <c r="A8" s="28"/>
      <c r="B8" s="17">
        <v>320</v>
      </c>
      <c r="C8" s="20"/>
      <c r="D8" s="20"/>
    </row>
    <row r="9" ht="20.05" customHeight="1">
      <c r="A9" s="28"/>
      <c r="B9" s="17">
        <v>264</v>
      </c>
      <c r="C9" s="20"/>
      <c r="D9" s="20"/>
    </row>
    <row r="10" ht="20.05" customHeight="1">
      <c r="A10" s="28"/>
      <c r="B10" s="17">
        <v>276</v>
      </c>
      <c r="C10" s="20"/>
      <c r="D10" s="20"/>
    </row>
    <row r="11" ht="20.05" customHeight="1">
      <c r="A11" s="29">
        <v>2020</v>
      </c>
      <c r="B11" s="17">
        <v>191</v>
      </c>
      <c r="C11" s="20"/>
      <c r="D11" s="20"/>
    </row>
    <row r="12" ht="20.05" customHeight="1">
      <c r="A12" s="28"/>
      <c r="B12" s="17">
        <v>206</v>
      </c>
      <c r="C12" s="20"/>
      <c r="D12" s="20"/>
    </row>
    <row r="13" ht="20.05" customHeight="1">
      <c r="A13" s="28"/>
      <c r="B13" s="17">
        <v>206</v>
      </c>
      <c r="C13" s="20"/>
      <c r="D13" s="20"/>
    </row>
    <row r="14" ht="20.05" customHeight="1">
      <c r="A14" s="28"/>
      <c r="B14" s="17">
        <v>254</v>
      </c>
      <c r="C14" s="20"/>
      <c r="D14" s="20"/>
    </row>
    <row r="15" ht="20.05" customHeight="1">
      <c r="A15" s="29">
        <v>2021</v>
      </c>
      <c r="B15" s="17">
        <v>244</v>
      </c>
      <c r="C15" s="20"/>
      <c r="D15" s="20"/>
    </row>
    <row r="16" ht="20.05" customHeight="1">
      <c r="A16" s="28"/>
      <c r="B16" s="17">
        <v>238</v>
      </c>
      <c r="C16" s="20"/>
      <c r="D16" s="20"/>
    </row>
    <row r="17" ht="20.05" customHeight="1">
      <c r="A17" s="28"/>
      <c r="B17" s="17">
        <v>234</v>
      </c>
      <c r="C17" s="20"/>
      <c r="D17" s="20"/>
    </row>
    <row r="18" ht="20.05" customHeight="1">
      <c r="A18" s="28"/>
      <c r="B18" s="17">
        <v>246</v>
      </c>
      <c r="C18" s="20"/>
      <c r="D18" s="20"/>
    </row>
    <row r="19" ht="20.05" customHeight="1">
      <c r="A19" s="29">
        <v>2022</v>
      </c>
      <c r="B19" s="17">
        <v>232</v>
      </c>
      <c r="C19" s="34">
        <f>B19</f>
        <v>232</v>
      </c>
      <c r="D19" s="20"/>
    </row>
    <row r="20" ht="20.05" customHeight="1">
      <c r="A20" s="28"/>
      <c r="B20" s="17"/>
      <c r="C20" s="34">
        <f>'Model'!F43</f>
        <v>527.089288838925</v>
      </c>
      <c r="D20" s="20"/>
    </row>
  </sheetData>
  <mergeCells count="1">
    <mergeCell ref="A1:D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2:P46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7" width="10.0312" style="35" customWidth="1"/>
    <col min="8" max="16" width="11.375" style="37" customWidth="1"/>
    <col min="17" max="16384" width="16.3516" style="37" customWidth="1"/>
  </cols>
  <sheetData>
    <row r="1" ht="27.65" customHeight="1">
      <c r="A1" t="s" s="2">
        <v>58</v>
      </c>
      <c r="B1" s="2"/>
      <c r="C1" s="2"/>
      <c r="D1" s="2"/>
      <c r="E1" s="2"/>
      <c r="F1" s="2"/>
      <c r="G1" s="2"/>
    </row>
    <row r="2" ht="20.25" customHeight="1">
      <c r="A2" t="s" s="36">
        <v>59</v>
      </c>
      <c r="B2" t="s" s="5">
        <v>11</v>
      </c>
      <c r="C2" t="s" s="5">
        <v>12</v>
      </c>
      <c r="D2" t="s" s="5">
        <v>60</v>
      </c>
      <c r="E2" t="s" s="5">
        <v>11</v>
      </c>
      <c r="F2" t="s" s="5">
        <v>12</v>
      </c>
      <c r="G2" t="s" s="5">
        <v>60</v>
      </c>
    </row>
    <row r="3" ht="20.25" customHeight="1">
      <c r="A3" s="23">
        <v>2000</v>
      </c>
      <c r="B3" s="31"/>
      <c r="C3" s="25"/>
      <c r="D3" s="25">
        <f>B3+C3</f>
        <v>0</v>
      </c>
      <c r="E3" s="25"/>
      <c r="F3" s="25"/>
      <c r="G3" s="25">
        <f>D3</f>
        <v>0</v>
      </c>
    </row>
    <row r="4" ht="20.05" customHeight="1">
      <c r="A4" s="29">
        <f>1+$A3</f>
        <v>2001</v>
      </c>
      <c r="B4" s="17"/>
      <c r="C4" s="18"/>
      <c r="D4" s="18">
        <f>B4+C4</f>
        <v>0</v>
      </c>
      <c r="E4" s="18"/>
      <c r="F4" s="18"/>
      <c r="G4" s="18">
        <f>D4+G3</f>
        <v>0</v>
      </c>
    </row>
    <row r="5" ht="20.05" customHeight="1">
      <c r="A5" s="29">
        <f>1+$A4</f>
        <v>2002</v>
      </c>
      <c r="B5" s="17"/>
      <c r="C5" s="18"/>
      <c r="D5" s="18">
        <f>B5+C5</f>
        <v>0</v>
      </c>
      <c r="E5" s="18"/>
      <c r="F5" s="18"/>
      <c r="G5" s="18">
        <f>D5+G4</f>
        <v>0</v>
      </c>
    </row>
    <row r="6" ht="20.05" customHeight="1">
      <c r="A6" s="29">
        <f>1+$A5</f>
        <v>2003</v>
      </c>
      <c r="B6" s="17"/>
      <c r="C6" s="18"/>
      <c r="D6" s="18">
        <f>B6+C6</f>
        <v>0</v>
      </c>
      <c r="E6" s="18"/>
      <c r="F6" s="18"/>
      <c r="G6" s="18">
        <f>D6+G5</f>
        <v>0</v>
      </c>
    </row>
    <row r="7" ht="20.05" customHeight="1">
      <c r="A7" s="29">
        <f>1+$A6</f>
        <v>2004</v>
      </c>
      <c r="B7" s="17"/>
      <c r="C7" s="18"/>
      <c r="D7" s="18">
        <f>B7+C7</f>
        <v>0</v>
      </c>
      <c r="E7" s="18"/>
      <c r="F7" s="18"/>
      <c r="G7" s="18">
        <f>D7+G6</f>
        <v>0</v>
      </c>
    </row>
    <row r="8" ht="20.05" customHeight="1">
      <c r="A8" s="29">
        <f>1+$A7</f>
        <v>2005</v>
      </c>
      <c r="B8" s="17"/>
      <c r="C8" s="18"/>
      <c r="D8" s="18">
        <f>B8+C8</f>
        <v>0</v>
      </c>
      <c r="E8" s="18"/>
      <c r="F8" s="18"/>
      <c r="G8" s="18">
        <f>D8+G7</f>
        <v>0</v>
      </c>
    </row>
    <row r="9" ht="20.05" customHeight="1">
      <c r="A9" s="29">
        <f>1+$A8</f>
        <v>2006</v>
      </c>
      <c r="B9" s="17"/>
      <c r="C9" s="18"/>
      <c r="D9" s="18">
        <f>B9+C9</f>
        <v>0</v>
      </c>
      <c r="E9" s="18">
        <f>B9+E8</f>
        <v>0</v>
      </c>
      <c r="F9" s="18">
        <f>C9+F8</f>
        <v>0</v>
      </c>
      <c r="G9" s="18">
        <f>D9+G8</f>
        <v>0</v>
      </c>
    </row>
    <row r="10" ht="20.05" customHeight="1">
      <c r="A10" s="29">
        <f>1+$A9</f>
        <v>2007</v>
      </c>
      <c r="B10" s="17"/>
      <c r="C10" s="18"/>
      <c r="D10" s="18">
        <f>B10+C10</f>
        <v>0</v>
      </c>
      <c r="E10" s="18">
        <f>B10+E9</f>
        <v>0</v>
      </c>
      <c r="F10" s="18">
        <f>C10+F9</f>
        <v>0</v>
      </c>
      <c r="G10" s="18">
        <f>D10+G9</f>
        <v>0</v>
      </c>
    </row>
    <row r="11" ht="20.05" customHeight="1">
      <c r="A11" s="29">
        <f>1+$A10</f>
        <v>2008</v>
      </c>
      <c r="B11" s="17"/>
      <c r="C11" s="18"/>
      <c r="D11" s="18">
        <f>B11+C11</f>
        <v>0</v>
      </c>
      <c r="E11" s="18">
        <f>B11+E10</f>
        <v>0</v>
      </c>
      <c r="F11" s="18">
        <f>C11+F10</f>
        <v>0</v>
      </c>
      <c r="G11" s="18">
        <f>D11+G10</f>
        <v>0</v>
      </c>
    </row>
    <row r="12" ht="20.05" customHeight="1">
      <c r="A12" s="29">
        <f>1+$A11</f>
        <v>2009</v>
      </c>
      <c r="B12" s="17"/>
      <c r="C12" s="18"/>
      <c r="D12" s="18">
        <f>B12+C12</f>
        <v>0</v>
      </c>
      <c r="E12" s="18">
        <f>B12+E11</f>
        <v>0</v>
      </c>
      <c r="F12" s="18">
        <f>C12+F11</f>
        <v>0</v>
      </c>
      <c r="G12" s="18">
        <f>D12+G11</f>
        <v>0</v>
      </c>
    </row>
    <row r="13" ht="20.05" customHeight="1">
      <c r="A13" s="29">
        <f>1+$A12</f>
        <v>2010</v>
      </c>
      <c r="B13" s="17"/>
      <c r="C13" s="18"/>
      <c r="D13" s="18">
        <f>B13+C13</f>
        <v>0</v>
      </c>
      <c r="E13" s="18">
        <f>B13+E12</f>
        <v>0</v>
      </c>
      <c r="F13" s="18">
        <f>C13+F12</f>
        <v>0</v>
      </c>
      <c r="G13" s="18">
        <f>D13+G12</f>
        <v>0</v>
      </c>
    </row>
    <row r="14" ht="20.05" customHeight="1">
      <c r="A14" s="29">
        <f>1+$A13</f>
        <v>2011</v>
      </c>
      <c r="B14" s="17"/>
      <c r="C14" s="18"/>
      <c r="D14" s="18">
        <f>B14+C14</f>
        <v>0</v>
      </c>
      <c r="E14" s="18">
        <f>B14+E13</f>
        <v>0</v>
      </c>
      <c r="F14" s="18">
        <f>C14+F13</f>
        <v>0</v>
      </c>
      <c r="G14" s="18">
        <f>D14+G13</f>
        <v>0</v>
      </c>
    </row>
    <row r="15" ht="20.05" customHeight="1">
      <c r="A15" s="29">
        <f>1+$A14</f>
        <v>2012</v>
      </c>
      <c r="B15" s="17"/>
      <c r="C15" s="18"/>
      <c r="D15" s="18">
        <f>B15+C15</f>
        <v>0</v>
      </c>
      <c r="E15" s="18">
        <f>B15+E14</f>
        <v>0</v>
      </c>
      <c r="F15" s="18">
        <f>C15+F14</f>
        <v>0</v>
      </c>
      <c r="G15" s="18">
        <f>D15+G14</f>
        <v>0</v>
      </c>
    </row>
    <row r="16" ht="20.05" customHeight="1">
      <c r="A16" s="29">
        <f>1+$A15</f>
        <v>2013</v>
      </c>
      <c r="B16" s="17"/>
      <c r="C16" s="18"/>
      <c r="D16" s="18">
        <f>B16+C16</f>
        <v>0</v>
      </c>
      <c r="E16" s="18">
        <f>B16+E15</f>
        <v>0</v>
      </c>
      <c r="F16" s="18">
        <f>C16+F15</f>
        <v>0</v>
      </c>
      <c r="G16" s="18">
        <f>D16+G15</f>
        <v>0</v>
      </c>
    </row>
    <row r="17" ht="20.05" customHeight="1">
      <c r="A17" s="29">
        <f>1+$A16</f>
        <v>2014</v>
      </c>
      <c r="B17" s="17"/>
      <c r="C17" s="18"/>
      <c r="D17" s="18">
        <f>B17+C17</f>
        <v>0</v>
      </c>
      <c r="E17" s="18">
        <f>B17+E16</f>
        <v>0</v>
      </c>
      <c r="F17" s="18">
        <f>C17+F16</f>
        <v>0</v>
      </c>
      <c r="G17" s="18">
        <f>D17+G16</f>
        <v>0</v>
      </c>
    </row>
    <row r="18" ht="20.05" customHeight="1">
      <c r="A18" s="29">
        <f>1+$A17</f>
        <v>2015</v>
      </c>
      <c r="B18" s="17"/>
      <c r="C18" s="18"/>
      <c r="D18" s="18">
        <f>B18+C18</f>
        <v>0</v>
      </c>
      <c r="E18" s="18">
        <f>B18+E17</f>
        <v>0</v>
      </c>
      <c r="F18" s="18">
        <f>C18+F17</f>
        <v>0</v>
      </c>
      <c r="G18" s="18">
        <f>D18+G17</f>
        <v>0</v>
      </c>
    </row>
    <row r="19" ht="20.05" customHeight="1">
      <c r="A19" s="29">
        <f>1+$A18</f>
        <v>2016</v>
      </c>
      <c r="B19" s="17"/>
      <c r="C19" s="18"/>
      <c r="D19" s="18">
        <f>B19+C19</f>
        <v>0</v>
      </c>
      <c r="E19" s="18">
        <f>B19+E18</f>
        <v>0</v>
      </c>
      <c r="F19" s="18">
        <f>C19+F18</f>
        <v>0</v>
      </c>
      <c r="G19" s="18">
        <f>D19+G18</f>
        <v>0</v>
      </c>
    </row>
    <row r="20" ht="20.05" customHeight="1">
      <c r="A20" s="29">
        <f>1+$A19</f>
        <v>2017</v>
      </c>
      <c r="B20" s="17"/>
      <c r="C20" s="18"/>
      <c r="D20" s="18">
        <f>B20+C20</f>
        <v>0</v>
      </c>
      <c r="E20" s="18">
        <f>B20+E19</f>
        <v>0</v>
      </c>
      <c r="F20" s="18">
        <f>C20+F19</f>
        <v>0</v>
      </c>
      <c r="G20" s="18">
        <f>D20+G19</f>
        <v>0</v>
      </c>
    </row>
    <row r="21" ht="20.05" customHeight="1">
      <c r="A21" s="29">
        <f>1+$A20</f>
        <v>2018</v>
      </c>
      <c r="B21" s="17"/>
      <c r="C21" s="18"/>
      <c r="D21" s="18">
        <f>B21+C21</f>
        <v>0</v>
      </c>
      <c r="E21" s="18">
        <f>B21+E20</f>
        <v>0</v>
      </c>
      <c r="F21" s="18">
        <f>C21+F20</f>
        <v>0</v>
      </c>
      <c r="G21" s="18">
        <f>D21+G20</f>
        <v>0</v>
      </c>
    </row>
    <row r="22" ht="20.05" customHeight="1">
      <c r="A22" s="29">
        <f>1+$A21</f>
        <v>2019</v>
      </c>
      <c r="B22" s="17"/>
      <c r="C22" s="18"/>
      <c r="D22" s="18">
        <f>B22+C22</f>
        <v>0</v>
      </c>
      <c r="E22" s="18">
        <f>B22+E21</f>
        <v>0</v>
      </c>
      <c r="F22" s="18">
        <f>C22+F21</f>
        <v>0</v>
      </c>
      <c r="G22" s="18">
        <f>D22+G21</f>
        <v>0</v>
      </c>
    </row>
    <row r="23" ht="20.05" customHeight="1">
      <c r="A23" s="29">
        <f>1+$A22</f>
        <v>2020</v>
      </c>
      <c r="B23" s="17"/>
      <c r="C23" s="18"/>
      <c r="D23" s="18">
        <f>B23+C23</f>
        <v>0</v>
      </c>
      <c r="E23" s="18">
        <f>B23+E22</f>
        <v>0</v>
      </c>
      <c r="F23" s="18">
        <f>C23+F22</f>
        <v>0</v>
      </c>
      <c r="G23" s="18">
        <f>D23+G22</f>
        <v>0</v>
      </c>
    </row>
    <row r="24" ht="20.05" customHeight="1">
      <c r="A24" s="29">
        <f>1+$A23</f>
        <v>2021</v>
      </c>
      <c r="B24" s="17"/>
      <c r="C24" s="18"/>
      <c r="D24" s="18">
        <f>B24+C24</f>
        <v>0</v>
      </c>
      <c r="E24" s="18">
        <f>B24+E23</f>
        <v>0</v>
      </c>
      <c r="F24" s="18">
        <f>C24+F23</f>
        <v>0</v>
      </c>
      <c r="G24" s="18">
        <f>D24+G23</f>
        <v>0</v>
      </c>
    </row>
    <row r="26" ht="27.65" customHeight="1">
      <c r="H26" t="s" s="2">
        <v>61</v>
      </c>
      <c r="I26" s="2"/>
      <c r="J26" s="2"/>
      <c r="K26" s="2"/>
      <c r="L26" s="2"/>
      <c r="M26" s="2"/>
      <c r="N26" s="2"/>
      <c r="O26" s="2"/>
      <c r="P26" s="2"/>
    </row>
    <row r="27" ht="20.25" customHeight="1">
      <c r="H27" s="4"/>
      <c r="I27" s="4"/>
      <c r="J27" s="4"/>
      <c r="K27" s="4"/>
      <c r="L27" s="4"/>
      <c r="M27" s="4"/>
      <c r="N27" s="4"/>
      <c r="O27" s="4"/>
      <c r="P27" s="4"/>
    </row>
    <row r="28" ht="32.25" customHeight="1">
      <c r="H28" s="38"/>
      <c r="I28" t="s" s="39">
        <v>62</v>
      </c>
      <c r="J28" t="s" s="40">
        <v>63</v>
      </c>
      <c r="K28" s="8"/>
      <c r="L28" s="8"/>
      <c r="M28" s="8"/>
      <c r="N28" s="8"/>
      <c r="O28" s="8"/>
      <c r="P28" s="8"/>
    </row>
    <row r="29" ht="20.05" customHeight="1">
      <c r="H29" s="28"/>
      <c r="I29" s="41">
        <v>44593</v>
      </c>
      <c r="J29" s="34">
        <v>18</v>
      </c>
      <c r="K29" s="34">
        <v>2022</v>
      </c>
      <c r="L29" s="20"/>
      <c r="M29" s="20"/>
      <c r="N29" s="20"/>
      <c r="O29" s="20"/>
      <c r="P29" s="20"/>
    </row>
    <row r="30" ht="20.05" customHeight="1">
      <c r="H30" s="28"/>
      <c r="I30" t="s" s="42">
        <v>64</v>
      </c>
      <c r="J30" s="34">
        <f>$A9</f>
        <v>2006</v>
      </c>
      <c r="K30" s="20"/>
      <c r="L30" s="20"/>
      <c r="M30" s="20"/>
      <c r="N30" s="20"/>
      <c r="O30" s="20"/>
      <c r="P30" s="20"/>
    </row>
    <row r="31" ht="32.05" customHeight="1">
      <c r="H31" s="28"/>
      <c r="I31" t="s" s="42">
        <v>65</v>
      </c>
      <c r="J31" s="34">
        <f>(2021-J30)*4</f>
        <v>60</v>
      </c>
      <c r="K31" s="20"/>
      <c r="L31" s="20"/>
      <c r="M31" s="20"/>
      <c r="N31" s="20"/>
      <c r="O31" s="20"/>
      <c r="P31" s="20"/>
    </row>
    <row r="32" ht="20.05" customHeight="1">
      <c r="H32" s="28"/>
      <c r="I32" t="s" s="42">
        <v>11</v>
      </c>
      <c r="J32" s="20"/>
      <c r="K32" s="20"/>
      <c r="L32" s="20"/>
      <c r="M32" s="20"/>
      <c r="N32" s="20"/>
      <c r="O32" s="20"/>
      <c r="P32" s="20"/>
    </row>
    <row r="33" ht="32.05" customHeight="1">
      <c r="H33" s="28"/>
      <c r="I33" t="s" s="42">
        <f>I28</f>
        <v>62</v>
      </c>
      <c r="J33" t="s" s="43">
        <v>66</v>
      </c>
      <c r="K33" s="20">
        <f>IF(N33&gt;0,"raised","paid")</f>
      </c>
      <c r="L33" t="s" s="43">
        <v>67</v>
      </c>
      <c r="M33" t="s" s="43">
        <v>68</v>
      </c>
      <c r="N33" s="20">
        <f>AVERAGE(B9:B24)</f>
      </c>
      <c r="O33" t="s" s="43">
        <v>69</v>
      </c>
      <c r="P33" t="s" s="43">
        <v>70</v>
      </c>
    </row>
    <row r="34" ht="32.05" customHeight="1">
      <c r="H34" s="28"/>
      <c r="I34" t="s" s="42">
        <v>71</v>
      </c>
      <c r="J34" t="s" s="43">
        <f>L33</f>
        <v>67</v>
      </c>
      <c r="K34" t="s" s="43">
        <v>72</v>
      </c>
      <c r="L34" s="20">
        <f>IF(N34&gt;0,"raised","paid")</f>
      </c>
      <c r="M34" t="s" s="43">
        <v>68</v>
      </c>
      <c r="N34" s="20">
        <f>AVERAGE(B20:B24)</f>
      </c>
      <c r="O34" t="s" s="43">
        <v>69</v>
      </c>
      <c r="P34" t="s" s="43">
        <v>70</v>
      </c>
    </row>
    <row r="35" ht="44.05" customHeight="1">
      <c r="H35" s="28"/>
      <c r="I35" t="s" s="42">
        <v>73</v>
      </c>
      <c r="J35" t="s" s="43">
        <v>74</v>
      </c>
      <c r="K35" s="34">
        <f>MAX(E9:E24)</f>
        <v>0</v>
      </c>
      <c r="L35" t="s" s="43">
        <f>O34</f>
        <v>69</v>
      </c>
      <c r="M35" t="s" s="43">
        <v>75</v>
      </c>
      <c r="N35" s="34">
        <f>$A21</f>
        <v>2018</v>
      </c>
      <c r="O35" s="20"/>
      <c r="P35" s="20"/>
    </row>
    <row r="36" ht="32.05" customHeight="1">
      <c r="H36" s="28"/>
      <c r="I36" t="s" s="42">
        <v>76</v>
      </c>
      <c r="J36" t="s" s="43">
        <f>J34</f>
        <v>67</v>
      </c>
      <c r="K36" t="s" s="43">
        <v>77</v>
      </c>
      <c r="L36" t="s" s="43">
        <v>78</v>
      </c>
      <c r="M36" t="s" s="43">
        <f>IF(O36&lt;K35,"down","up")</f>
        <v>79</v>
      </c>
      <c r="N36" t="s" s="43">
        <v>80</v>
      </c>
      <c r="O36" s="34">
        <f>E24</f>
        <v>0</v>
      </c>
      <c r="P36" t="s" s="43">
        <f>O34</f>
        <v>69</v>
      </c>
    </row>
    <row r="37" ht="20.05" customHeight="1">
      <c r="H37" s="28"/>
      <c r="I37" t="s" s="42">
        <v>12</v>
      </c>
      <c r="J37" s="20"/>
      <c r="K37" s="20"/>
      <c r="L37" s="20"/>
      <c r="M37" s="20"/>
      <c r="N37" s="20"/>
      <c r="O37" s="20"/>
      <c r="P37" s="20"/>
    </row>
    <row r="38" ht="32.05" customHeight="1">
      <c r="H38" s="28"/>
      <c r="I38" t="s" s="42">
        <f>I33</f>
        <v>62</v>
      </c>
      <c r="J38" t="s" s="43">
        <v>66</v>
      </c>
      <c r="K38" t="s" s="43">
        <f>IF(N38&gt;0,"raised","paid")</f>
        <v>81</v>
      </c>
      <c r="L38" t="s" s="43">
        <v>82</v>
      </c>
      <c r="M38" t="s" s="43">
        <f>M33</f>
        <v>68</v>
      </c>
      <c r="N38" s="34">
        <f>AVERAGE(C9:C24)</f>
        <v>0</v>
      </c>
      <c r="O38" t="s" s="43">
        <f>O33</f>
        <v>69</v>
      </c>
      <c r="P38" t="s" s="43">
        <f>P33</f>
        <v>70</v>
      </c>
    </row>
    <row r="39" ht="32.05" customHeight="1">
      <c r="H39" s="28"/>
      <c r="I39" t="s" s="42">
        <v>71</v>
      </c>
      <c r="J39" t="s" s="43">
        <f>L38</f>
        <v>82</v>
      </c>
      <c r="K39" t="s" s="43">
        <v>83</v>
      </c>
      <c r="L39" s="20">
        <f>IF(N39&gt;0,"raised","paid")</f>
      </c>
      <c r="M39" t="s" s="43">
        <v>68</v>
      </c>
      <c r="N39" s="20">
        <f>AVERAGE(C20:C24)</f>
      </c>
      <c r="O39" t="s" s="43">
        <v>69</v>
      </c>
      <c r="P39" t="s" s="43">
        <v>70</v>
      </c>
    </row>
    <row r="40" ht="44.05" customHeight="1">
      <c r="H40" s="28"/>
      <c r="I40" t="s" s="42">
        <v>84</v>
      </c>
      <c r="J40" t="s" s="43">
        <v>74</v>
      </c>
      <c r="K40" s="34">
        <f>MAX(F9:F24)</f>
        <v>0</v>
      </c>
      <c r="L40" t="s" s="43">
        <f>O39</f>
        <v>69</v>
      </c>
      <c r="M40" t="s" s="43">
        <v>75</v>
      </c>
      <c r="N40" s="34">
        <f>$A9</f>
        <v>2006</v>
      </c>
      <c r="O40" s="20"/>
      <c r="P40" s="20"/>
    </row>
    <row r="41" ht="32.05" customHeight="1">
      <c r="H41" s="28"/>
      <c r="I41" t="s" s="42">
        <v>76</v>
      </c>
      <c r="J41" t="s" s="43">
        <f>J39</f>
        <v>82</v>
      </c>
      <c r="K41" t="s" s="43">
        <v>77</v>
      </c>
      <c r="L41" t="s" s="43">
        <v>85</v>
      </c>
      <c r="M41" t="s" s="43">
        <f>IF(O41&lt;K40,"down","up")</f>
        <v>79</v>
      </c>
      <c r="N41" t="s" s="43">
        <v>80</v>
      </c>
      <c r="O41" s="34">
        <f>F24</f>
        <v>0</v>
      </c>
      <c r="P41" t="s" s="43">
        <f>O39</f>
        <v>69</v>
      </c>
    </row>
    <row r="42" ht="20.05" customHeight="1">
      <c r="H42" s="28"/>
      <c r="I42" t="s" s="42">
        <v>86</v>
      </c>
      <c r="J42" s="20"/>
      <c r="K42" s="20"/>
      <c r="L42" s="20"/>
      <c r="M42" s="20"/>
      <c r="N42" s="20"/>
      <c r="O42" s="20"/>
      <c r="P42" s="20"/>
    </row>
    <row r="43" ht="32.05" customHeight="1">
      <c r="H43" s="28"/>
      <c r="I43" t="s" s="42">
        <f>I38</f>
        <v>62</v>
      </c>
      <c r="J43" t="s" s="43">
        <v>66</v>
      </c>
      <c r="K43" t="s" s="43">
        <f>IF(N43&gt;0,"raised","paid")</f>
        <v>81</v>
      </c>
      <c r="L43" t="s" s="43">
        <v>87</v>
      </c>
      <c r="M43" t="s" s="43">
        <f>M38</f>
        <v>68</v>
      </c>
      <c r="N43" s="34">
        <f>AVERAGE(D9:D24)</f>
        <v>0</v>
      </c>
      <c r="O43" t="s" s="43">
        <f>O38</f>
        <v>69</v>
      </c>
      <c r="P43" t="s" s="43">
        <f>P38</f>
        <v>70</v>
      </c>
    </row>
    <row r="44" ht="32.05" customHeight="1">
      <c r="H44" s="28"/>
      <c r="I44" t="s" s="42">
        <v>71</v>
      </c>
      <c r="J44" t="s" s="43">
        <f>L43</f>
        <v>87</v>
      </c>
      <c r="K44" t="s" s="43">
        <v>83</v>
      </c>
      <c r="L44" t="s" s="43">
        <f>IF(N44&gt;0,"raised","paid")</f>
        <v>81</v>
      </c>
      <c r="M44" t="s" s="43">
        <v>68</v>
      </c>
      <c r="N44" s="34">
        <f>AVERAGE(D20:D24)</f>
        <v>0</v>
      </c>
      <c r="O44" t="s" s="43">
        <v>69</v>
      </c>
      <c r="P44" t="s" s="43">
        <v>70</v>
      </c>
    </row>
    <row r="45" ht="44.05" customHeight="1">
      <c r="H45" s="28"/>
      <c r="I45" t="s" s="42">
        <v>84</v>
      </c>
      <c r="J45" t="s" s="43">
        <v>74</v>
      </c>
      <c r="K45" s="34">
        <f>MAX(G9:G24)</f>
        <v>0</v>
      </c>
      <c r="L45" t="s" s="43">
        <f>O44</f>
        <v>69</v>
      </c>
      <c r="M45" t="s" s="43">
        <v>75</v>
      </c>
      <c r="N45" s="34">
        <f>$A21</f>
        <v>2018</v>
      </c>
      <c r="O45" s="20"/>
      <c r="P45" s="20"/>
    </row>
    <row r="46" ht="32.05" customHeight="1">
      <c r="H46" s="28"/>
      <c r="I46" t="s" s="42">
        <v>76</v>
      </c>
      <c r="J46" t="s" s="43">
        <f>J44</f>
        <v>87</v>
      </c>
      <c r="K46" t="s" s="43">
        <v>77</v>
      </c>
      <c r="L46" t="s" s="43">
        <v>85</v>
      </c>
      <c r="M46" t="s" s="43">
        <f>IF(O46&lt;K45,"down","up")</f>
        <v>79</v>
      </c>
      <c r="N46" t="s" s="43">
        <v>80</v>
      </c>
      <c r="O46" s="34">
        <f>G24</f>
        <v>0</v>
      </c>
      <c r="P46" t="s" s="43">
        <f>O44</f>
        <v>69</v>
      </c>
    </row>
  </sheetData>
  <mergeCells count="2">
    <mergeCell ref="A1:G1"/>
    <mergeCell ref="H26:P26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