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<sst xmlns="http://schemas.openxmlformats.org/spreadsheetml/2006/main" uniqueCount="62">
  <si>
    <t>Financial model</t>
  </si>
  <si>
    <t>$m</t>
  </si>
  <si>
    <t>4Q 2023</t>
  </si>
  <si>
    <t>Cash flow</t>
  </si>
  <si>
    <t xml:space="preserve">Growth 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</si>
  <si>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</si>
  <si>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</si>
  <si>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</si>
  <si>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</si>
  <si>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</si>
  <si>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</si>
  <si>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</si>
  <si>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</si>
  <si>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>Payout</t>
  </si>
  <si>
    <t>Equity</t>
  </si>
  <si>
    <t xml:space="preserve">Before 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</si>
  <si>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</si>
  <si>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</si>
  <si>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</si>
  <si>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</si>
  <si>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</si>
  <si>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</si>
  <si>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</si>
  <si>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</si>
  <si>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</si>
  <si>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</si>
  <si>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</si>
  <si>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</si>
  <si>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</si>
  <si>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</si>
  <si>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</si>
  <si>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</si>
  <si>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</si>
  <si>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P/sales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</si>
  <si>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</si>
  <si>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</si>
  <si>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</si>
  <si>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</si>
  <si>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</si>
  <si>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</si>
  <si>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</si>
  <si>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</si>
  <si>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</si>
  <si>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</si>
  <si>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</si>
  <si>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v forecast </t>
  </si>
  <si>
    <t>Net profit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</si>
  <si>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</si>
  <si>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</si>
  <si>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</si>
  <si>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</si>
  <si>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</si>
  <si>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</si>
  <si>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 xml:space="preserve">Free cashflow </t>
  </si>
  <si>
    <t xml:space="preserve">$m </t>
  </si>
  <si>
    <t xml:space="preserve">Cash </t>
  </si>
  <si>
    <t>Assets</t>
  </si>
  <si>
    <t>Share price</t>
  </si>
  <si>
    <t>Date</t>
  </si>
  <si>
    <t>WINS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</si>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</sst>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%_);[Red]\(#,##0%\)"/>
    <numFmt numFmtId="60" formatCode="#,##0.0_);[Red]\(#,##0.0\)"/>
    <numFmt numFmtId="61" formatCode="#,##0%"/>
    <numFmt numFmtId="62" formatCode="#,##0.0"/>
    <numFmt numFmtId="63" formatCode="#,##0.0%"/>
    <numFmt numFmtId="64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62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2" fillId="2" borderId="1" applyNumberFormat="1" applyFont="1" applyFill="1" applyBorder="1" applyAlignment="1" applyProtection="0">
      <alignment horizontal="right" vertical="top" wrapText="1"/>
    </xf>
    <xf numFmtId="0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4" fontId="0" borderId="3" applyNumberFormat="1" applyFont="1" applyFill="0" applyBorder="1" applyAlignment="1" applyProtection="0">
      <alignment vertical="top" wrapText="1"/>
    </xf>
    <xf numFmtId="64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64" fontId="0" borderId="6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horizontal="right" vertical="top"/>
    </xf>
    <xf numFmtId="0" fontId="2" fillId="4" borderId="2" applyNumberFormat="1" applyFont="1" applyFill="1" applyBorder="1" applyAlignment="1" applyProtection="0">
      <alignment vertical="top"/>
    </xf>
    <xf numFmtId="1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1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529740</xdr:colOff>
      <xdr:row>2</xdr:row>
      <xdr:rowOff>8593</xdr:rowOff>
    </xdr:from>
    <xdr:to>
      <xdr:col>13</xdr:col>
      <xdr:colOff>901300</xdr:colOff>
      <xdr:row>50</xdr:row>
      <xdr:rowOff>15053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89040" y="833458"/>
          <a:ext cx="9083761" cy="122340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5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4141" style="1" customWidth="1"/>
    <col min="2" max="2" width="14.7656" style="1" customWidth="1"/>
    <col min="3" max="6" width="8.64844" style="1" customWidth="1"/>
    <col min="7" max="16384" width="16.3516" style="1" customWidth="1"/>
  </cols>
  <sheetData>
    <row r="1" ht="37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0.0296379751219785</v>
      </c>
      <c r="D4" s="8"/>
      <c r="E4" s="8"/>
      <c r="F4" s="9">
        <f>AVERAGE(C5:F5)</f>
        <v>0.04</v>
      </c>
    </row>
    <row r="5" ht="20.05" customHeight="1">
      <c r="B5" t="s" s="10">
        <v>4</v>
      </c>
      <c r="C5" s="11">
        <v>-0.01</v>
      </c>
      <c r="D5" s="12">
        <v>0.05</v>
      </c>
      <c r="E5" s="12">
        <v>0.05</v>
      </c>
      <c r="F5" s="12">
        <v>0.07000000000000001</v>
      </c>
    </row>
    <row r="6" ht="20.05" customHeight="1">
      <c r="B6" t="s" s="10">
        <v>5</v>
      </c>
      <c r="C6" s="13">
        <f>'Sales'!C31*(1+C5)</f>
        <v>11.979</v>
      </c>
      <c r="D6" s="14">
        <f>C6*(1+D5)</f>
        <v>12.57795</v>
      </c>
      <c r="E6" s="14">
        <f>D6*(1+E5)</f>
        <v>13.2068475</v>
      </c>
      <c r="F6" s="14">
        <f>E6*(1+F5)</f>
        <v>14.131326825</v>
      </c>
    </row>
    <row r="7" ht="20.05" customHeight="1">
      <c r="B7" t="s" s="10">
        <v>6</v>
      </c>
      <c r="C7" s="15">
        <f>AVERAGE('Sales'!I31)</f>
        <v>-0.681200126359117</v>
      </c>
      <c r="D7" s="16">
        <f>C7</f>
        <v>-0.681200126359117</v>
      </c>
      <c r="E7" s="16">
        <f>D7</f>
        <v>-0.681200126359117</v>
      </c>
      <c r="F7" s="16">
        <f>E7</f>
        <v>-0.681200126359117</v>
      </c>
    </row>
    <row r="8" ht="20.05" customHeight="1">
      <c r="B8" t="s" s="10">
        <v>7</v>
      </c>
      <c r="C8" s="17">
        <f>C6*C7</f>
        <v>-8.16009631365586</v>
      </c>
      <c r="D8" s="18">
        <f>D6*D7</f>
        <v>-8.568101129338659</v>
      </c>
      <c r="E8" s="18">
        <f>E6*E7</f>
        <v>-8.99650618580559</v>
      </c>
      <c r="F8" s="18">
        <f>F6*F7</f>
        <v>-9.626261618811981</v>
      </c>
    </row>
    <row r="9" ht="20.05" customHeight="1">
      <c r="B9" t="s" s="10">
        <v>8</v>
      </c>
      <c r="C9" s="17">
        <f>C6+C8</f>
        <v>3.81890368634414</v>
      </c>
      <c r="D9" s="18">
        <f>D6+D8</f>
        <v>4.00984887066134</v>
      </c>
      <c r="E9" s="18">
        <f>E6+E8</f>
        <v>4.21034131419441</v>
      </c>
      <c r="F9" s="18">
        <f>F6+F8</f>
        <v>4.50506520618802</v>
      </c>
    </row>
    <row r="10" ht="20.05" customHeight="1">
      <c r="B10" t="s" s="10">
        <v>9</v>
      </c>
      <c r="C10" s="17">
        <f>'Cashflow'!E28</f>
        <v>-0.17</v>
      </c>
      <c r="D10" s="18">
        <f>C10</f>
        <v>-0.17</v>
      </c>
      <c r="E10" s="18">
        <f>D10</f>
        <v>-0.17</v>
      </c>
      <c r="F10" s="18">
        <f>E10</f>
        <v>-0.17</v>
      </c>
    </row>
    <row r="11" ht="20.05" customHeight="1">
      <c r="B11" t="s" s="10">
        <v>10</v>
      </c>
      <c r="C11" s="17">
        <f>C12+C15+C13</f>
        <v>-2.25567110590324</v>
      </c>
      <c r="D11" s="18">
        <f>D12+D15+D13</f>
        <v>-2.2079546611984</v>
      </c>
      <c r="E11" s="18">
        <f>E12+E15+E13</f>
        <v>-2.16835239425832</v>
      </c>
      <c r="F11" s="18">
        <f>F12+F15+F13</f>
        <v>-2.16200706185641</v>
      </c>
    </row>
    <row r="12" ht="20.05" customHeight="1">
      <c r="B12" t="s" s="10">
        <v>11</v>
      </c>
      <c r="C12" s="17">
        <f>-('Balance sheet'!G31)/20</f>
        <v>-2.1</v>
      </c>
      <c r="D12" s="18">
        <f>-C27/20</f>
        <v>-1.995</v>
      </c>
      <c r="E12" s="18">
        <f>-D27/20</f>
        <v>-1.89525</v>
      </c>
      <c r="F12" s="18">
        <f>-E27/20</f>
        <v>-1.8004875</v>
      </c>
    </row>
    <row r="13" ht="20.05" customHeight="1">
      <c r="B13" t="s" s="10">
        <v>12</v>
      </c>
      <c r="C13" s="17">
        <f>-MIN(0,C16)</f>
        <v>0</v>
      </c>
      <c r="D13" s="18">
        <f>-MIN(C28,D16)</f>
        <v>0</v>
      </c>
      <c r="E13" s="18">
        <f>-MIN(D28,E16)</f>
        <v>0</v>
      </c>
      <c r="F13" s="18">
        <f>-MIN(E28,F16)</f>
        <v>0</v>
      </c>
    </row>
    <row r="14" ht="20.05" customHeight="1">
      <c r="B14" t="s" s="10">
        <v>13</v>
      </c>
      <c r="C14" s="17">
        <v>0.3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-0.155671105903242</v>
      </c>
      <c r="D15" s="18">
        <f>IF(D22&gt;0,-D22*$C$14,0)</f>
        <v>-0.212954661198402</v>
      </c>
      <c r="E15" s="18">
        <f>IF(E22&gt;0,-E22*$C$14,0)</f>
        <v>-0.273102394258323</v>
      </c>
      <c r="F15" s="18">
        <f>IF(F22&gt;0,-F22*$C$14,0)</f>
        <v>-0.361519561856406</v>
      </c>
    </row>
    <row r="16" ht="20.05" customHeight="1">
      <c r="B16" t="s" s="10">
        <v>15</v>
      </c>
      <c r="C16" s="17">
        <f>C9+C10+C12+C15</f>
        <v>1.3932325804409</v>
      </c>
      <c r="D16" s="18">
        <f>D9+D10+D12+D15</f>
        <v>1.63189420946294</v>
      </c>
      <c r="E16" s="18">
        <f>E9+E10+E12+E15</f>
        <v>1.87198891993609</v>
      </c>
      <c r="F16" s="18">
        <f>F9+F10+F12+F15</f>
        <v>2.17305814433161</v>
      </c>
    </row>
    <row r="17" ht="20.05" customHeight="1">
      <c r="B17" t="s" s="10">
        <v>16</v>
      </c>
      <c r="C17" s="17">
        <f>'Balance sheet'!C31</f>
        <v>9.641999999999999</v>
      </c>
      <c r="D17" s="18">
        <f>C19</f>
        <v>11.0352325804409</v>
      </c>
      <c r="E17" s="18">
        <f>D19</f>
        <v>12.6671267899038</v>
      </c>
      <c r="F17" s="18">
        <f>E19</f>
        <v>14.5391157098399</v>
      </c>
    </row>
    <row r="18" ht="20.05" customHeight="1">
      <c r="B18" t="s" s="10">
        <v>17</v>
      </c>
      <c r="C18" s="17">
        <f>C9+C10+C11</f>
        <v>1.3932325804409</v>
      </c>
      <c r="D18" s="18">
        <f>D9+D10+D11</f>
        <v>1.63189420946294</v>
      </c>
      <c r="E18" s="18">
        <f>E9+E10+E11</f>
        <v>1.87198891993609</v>
      </c>
      <c r="F18" s="18">
        <f>F9+F10+F11</f>
        <v>2.17305814433161</v>
      </c>
    </row>
    <row r="19" ht="20.05" customHeight="1">
      <c r="B19" t="s" s="10">
        <v>18</v>
      </c>
      <c r="C19" s="17">
        <f>C17+C18</f>
        <v>11.0352325804409</v>
      </c>
      <c r="D19" s="18">
        <f>D17+D18</f>
        <v>12.6671267899038</v>
      </c>
      <c r="E19" s="18">
        <f>E17+E18</f>
        <v>14.5391157098399</v>
      </c>
      <c r="F19" s="18">
        <f>F17+F18</f>
        <v>16.7121738541715</v>
      </c>
    </row>
    <row r="20" ht="20.05" customHeight="1">
      <c r="B20" t="s" s="19">
        <v>19</v>
      </c>
      <c r="C20" s="20"/>
      <c r="D20" s="21"/>
      <c r="E20" s="21"/>
      <c r="F20" s="18"/>
    </row>
    <row r="21" ht="20.05" customHeight="1">
      <c r="B21" t="s" s="10">
        <v>20</v>
      </c>
      <c r="C21" s="17">
        <f>-AVERAGE('Sales'!E31)</f>
        <v>-3.3</v>
      </c>
      <c r="D21" s="18">
        <f>C21</f>
        <v>-3.3</v>
      </c>
      <c r="E21" s="18">
        <f>D21</f>
        <v>-3.3</v>
      </c>
      <c r="F21" s="18">
        <f>E21</f>
        <v>-3.3</v>
      </c>
    </row>
    <row r="22" ht="20.05" customHeight="1">
      <c r="B22" t="s" s="10">
        <v>21</v>
      </c>
      <c r="C22" s="17">
        <f>C6+C8+C21</f>
        <v>0.51890368634414</v>
      </c>
      <c r="D22" s="18">
        <f>D6+D8+D21</f>
        <v>0.7098488706613399</v>
      </c>
      <c r="E22" s="18">
        <f>E6+E8+E21</f>
        <v>0.91034131419441</v>
      </c>
      <c r="F22" s="18">
        <f>F6+F8+F21</f>
        <v>1.20506520618802</v>
      </c>
    </row>
    <row r="23" ht="20.05" customHeight="1">
      <c r="B23" t="s" s="19">
        <v>22</v>
      </c>
      <c r="C23" s="20"/>
      <c r="D23" s="21"/>
      <c r="E23" s="21"/>
      <c r="F23" s="18"/>
    </row>
    <row r="24" ht="20.05" customHeight="1">
      <c r="B24" t="s" s="10">
        <v>23</v>
      </c>
      <c r="C24" s="22">
        <f>'Balance sheet'!E31+'Balance sheet'!F31-C10</f>
        <v>414.103352</v>
      </c>
      <c r="D24" s="23">
        <f>C24-D10</f>
        <v>414.273352</v>
      </c>
      <c r="E24" s="23">
        <f>D24-E10</f>
        <v>414.443352</v>
      </c>
      <c r="F24" s="23">
        <f>E24-F10</f>
        <v>414.613352</v>
      </c>
    </row>
    <row r="25" ht="20.05" customHeight="1">
      <c r="B25" t="s" s="10">
        <v>24</v>
      </c>
      <c r="C25" s="22">
        <f>'Balance sheet'!F31-C21</f>
        <v>230.875352</v>
      </c>
      <c r="D25" s="23">
        <f>C25-D21</f>
        <v>234.175352</v>
      </c>
      <c r="E25" s="23">
        <f>D25-E21</f>
        <v>237.475352</v>
      </c>
      <c r="F25" s="23">
        <f>E25-F21</f>
        <v>240.775352</v>
      </c>
    </row>
    <row r="26" ht="20.05" customHeight="1">
      <c r="B26" t="s" s="10">
        <v>25</v>
      </c>
      <c r="C26" s="22">
        <f>C24-C25</f>
        <v>183.228</v>
      </c>
      <c r="D26" s="23">
        <f>D24-D25</f>
        <v>180.098</v>
      </c>
      <c r="E26" s="23">
        <f>E24-E25</f>
        <v>176.968</v>
      </c>
      <c r="F26" s="23">
        <f>F24-F25</f>
        <v>173.838</v>
      </c>
    </row>
    <row r="27" ht="20.05" customHeight="1">
      <c r="B27" t="s" s="10">
        <v>11</v>
      </c>
      <c r="C27" s="22">
        <f>'Balance sheet'!G31+C12</f>
        <v>39.9</v>
      </c>
      <c r="D27" s="23">
        <f>C27+D12</f>
        <v>37.905</v>
      </c>
      <c r="E27" s="23">
        <f>D27+E12</f>
        <v>36.00975</v>
      </c>
      <c r="F27" s="23">
        <f>E27+F12</f>
        <v>34.2092625</v>
      </c>
    </row>
    <row r="28" ht="20.05" customHeight="1">
      <c r="B28" t="s" s="10">
        <v>12</v>
      </c>
      <c r="C28" s="22">
        <f>C13</f>
        <v>0</v>
      </c>
      <c r="D28" s="23">
        <f>C28+D13</f>
        <v>0</v>
      </c>
      <c r="E28" s="23">
        <f>D28+E13</f>
        <v>0</v>
      </c>
      <c r="F28" s="23">
        <f>E28+F13</f>
        <v>0</v>
      </c>
    </row>
    <row r="29" ht="20.05" customHeight="1">
      <c r="B29" t="s" s="10">
        <v>26</v>
      </c>
      <c r="C29" s="22">
        <f>'Balance sheet'!H31+C22</f>
        <v>154.518903686344</v>
      </c>
      <c r="D29" s="23">
        <f>C29+D22</f>
        <v>155.228752557005</v>
      </c>
      <c r="E29" s="23">
        <f>D29+E22</f>
        <v>156.139093871199</v>
      </c>
      <c r="F29" s="23">
        <f>E29+F22</f>
        <v>157.344159077387</v>
      </c>
    </row>
    <row r="30" ht="20.05" customHeight="1">
      <c r="B30" t="s" s="10">
        <v>27</v>
      </c>
      <c r="C30" s="22">
        <f>C27+C28+C29-C19-C26</f>
        <v>0.1556711059031</v>
      </c>
      <c r="D30" s="23">
        <f>D27+D28+D29-D19-D26</f>
        <v>0.3686257671012</v>
      </c>
      <c r="E30" s="23">
        <f>E27+E28+E29-E19-E26</f>
        <v>0.6417281613591</v>
      </c>
      <c r="F30" s="23">
        <f>F27+F28+F29-F19-F26</f>
        <v>1.0032477232155</v>
      </c>
    </row>
    <row r="31" ht="20.05" customHeight="1">
      <c r="B31" t="s" s="10">
        <v>28</v>
      </c>
      <c r="C31" s="22">
        <f>C19-C27-C28</f>
        <v>-28.8647674195591</v>
      </c>
      <c r="D31" s="23">
        <f>D19-D27-D28</f>
        <v>-25.2378732100962</v>
      </c>
      <c r="E31" s="23">
        <f>E19-E27-E28</f>
        <v>-21.4706342901601</v>
      </c>
      <c r="F31" s="23">
        <f>F19-F27-F28</f>
        <v>-17.4970886458285</v>
      </c>
    </row>
    <row r="32" ht="20.05" customHeight="1">
      <c r="B32" t="s" s="19">
        <v>29</v>
      </c>
      <c r="C32" s="22"/>
      <c r="D32" s="23"/>
      <c r="E32" s="23"/>
      <c r="F32" s="23"/>
    </row>
    <row r="33" ht="20.05" customHeight="1">
      <c r="B33" t="s" s="10">
        <v>30</v>
      </c>
      <c r="C33" s="22"/>
      <c r="D33" s="23"/>
      <c r="E33" s="23"/>
      <c r="F33" s="23">
        <v>14</v>
      </c>
    </row>
    <row r="34" ht="20.05" customHeight="1">
      <c r="B34" t="s" s="10">
        <v>31</v>
      </c>
      <c r="C34" s="22">
        <f>'Cashflow'!L31-C11</f>
        <v>148.567671105903</v>
      </c>
      <c r="D34" s="23">
        <f>C34-D11</f>
        <v>150.775625767101</v>
      </c>
      <c r="E34" s="23">
        <f>D34-E11</f>
        <v>152.943978161359</v>
      </c>
      <c r="F34" s="23">
        <f>E34-F11</f>
        <v>155.105985223215</v>
      </c>
    </row>
    <row r="35" ht="20.05" customHeight="1">
      <c r="B35" t="s" s="10">
        <v>32</v>
      </c>
      <c r="C35" s="22"/>
      <c r="D35" s="23"/>
      <c r="E35" s="23"/>
      <c r="F35" s="23">
        <v>708412667392</v>
      </c>
    </row>
    <row r="36" ht="20.05" customHeight="1">
      <c r="B36" t="s" s="10">
        <v>32</v>
      </c>
      <c r="C36" s="22"/>
      <c r="D36" s="23"/>
      <c r="E36" s="23"/>
      <c r="F36" s="23">
        <f>(F35/1000000000)/F33</f>
        <v>50.6009048137143</v>
      </c>
    </row>
    <row r="37" ht="20.05" customHeight="1">
      <c r="B37" t="s" s="10">
        <v>33</v>
      </c>
      <c r="C37" s="22"/>
      <c r="D37" s="23"/>
      <c r="E37" s="23"/>
      <c r="F37" s="24">
        <f>F36/(C6+D6+E6+F6)</f>
        <v>0.9750608650018741</v>
      </c>
    </row>
    <row r="38" ht="20.05" customHeight="1">
      <c r="B38" t="s" s="10">
        <v>34</v>
      </c>
      <c r="C38" s="22"/>
      <c r="D38" s="23"/>
      <c r="E38" s="23"/>
      <c r="F38" s="24">
        <f>F36/(F19+F26)</f>
        <v>0.265551606646338</v>
      </c>
    </row>
    <row r="39" ht="20.05" customHeight="1">
      <c r="B39" t="s" s="10">
        <v>35</v>
      </c>
      <c r="C39" s="22"/>
      <c r="D39" s="23"/>
      <c r="E39" s="23"/>
      <c r="F39" s="16">
        <f>-(C15+D15+E15+F15)/F36</f>
        <v>0.0198266755685456</v>
      </c>
    </row>
    <row r="40" ht="20.05" customHeight="1">
      <c r="B40" t="s" s="10">
        <v>36</v>
      </c>
      <c r="C40" s="22"/>
      <c r="D40" s="23"/>
      <c r="E40" s="23"/>
      <c r="F40" s="23">
        <f>SUM(C9:F10)</f>
        <v>15.8641590773879</v>
      </c>
    </row>
    <row r="41" ht="20.05" customHeight="1">
      <c r="B41" t="s" s="10">
        <v>37</v>
      </c>
      <c r="C41" s="22"/>
      <c r="D41" s="23"/>
      <c r="E41" s="23"/>
      <c r="F41" s="23">
        <f>'Balance sheet'!E31/F40</f>
        <v>11.7471086296422</v>
      </c>
    </row>
    <row r="42" ht="20.05" customHeight="1">
      <c r="B42" t="s" s="10">
        <v>29</v>
      </c>
      <c r="C42" s="22"/>
      <c r="D42" s="23"/>
      <c r="E42" s="23"/>
      <c r="F42" s="23">
        <f>F36/F40</f>
        <v>3.18963675079625</v>
      </c>
    </row>
    <row r="43" ht="20.05" customHeight="1">
      <c r="B43" t="s" s="10">
        <v>38</v>
      </c>
      <c r="C43" s="22"/>
      <c r="D43" s="23"/>
      <c r="E43" s="23"/>
      <c r="F43" s="23">
        <v>6</v>
      </c>
    </row>
    <row r="44" ht="20.05" customHeight="1">
      <c r="B44" t="s" s="10">
        <v>39</v>
      </c>
      <c r="C44" s="22"/>
      <c r="D44" s="23"/>
      <c r="E44" s="23"/>
      <c r="F44" s="23">
        <f>F40*F43</f>
        <v>95.1849544643274</v>
      </c>
    </row>
    <row r="45" ht="20.05" customHeight="1">
      <c r="B45" t="s" s="10">
        <v>40</v>
      </c>
      <c r="C45" s="22"/>
      <c r="D45" s="23"/>
      <c r="E45" s="23"/>
      <c r="F45" s="23">
        <f>(F35/1000000000)/F47</f>
        <v>4.346089984</v>
      </c>
    </row>
    <row r="46" ht="20.05" customHeight="1">
      <c r="B46" t="s" s="10">
        <v>41</v>
      </c>
      <c r="C46" s="22"/>
      <c r="D46" s="23"/>
      <c r="E46" s="23"/>
      <c r="F46" s="23">
        <f>(F44/F45)*F33</f>
        <v>306.617987065724</v>
      </c>
    </row>
    <row r="47" ht="20.05" customHeight="1">
      <c r="B47" t="s" s="10">
        <v>42</v>
      </c>
      <c r="C47" s="22"/>
      <c r="D47" s="23"/>
      <c r="E47" s="23"/>
      <c r="F47" s="23">
        <v>163</v>
      </c>
    </row>
    <row r="48" ht="20.05" customHeight="1">
      <c r="B48" t="s" s="10">
        <v>43</v>
      </c>
      <c r="C48" s="22"/>
      <c r="D48" s="23"/>
      <c r="E48" s="23"/>
      <c r="F48" s="16">
        <f>F46/F47-1</f>
        <v>0.881091945188491</v>
      </c>
    </row>
    <row r="49" ht="20.05" customHeight="1">
      <c r="B49" t="s" s="10">
        <v>44</v>
      </c>
      <c r="C49" s="22"/>
      <c r="D49" s="23"/>
      <c r="E49" s="23"/>
      <c r="F49" s="16">
        <f>'Sales'!C31/'Sales'!C27-1</f>
        <v>0.102907665664023</v>
      </c>
    </row>
    <row r="50" ht="20.05" customHeight="1">
      <c r="B50" t="s" s="10">
        <v>45</v>
      </c>
      <c r="C50" s="22"/>
      <c r="D50" s="23"/>
      <c r="E50" s="23"/>
      <c r="F50" s="16">
        <f>('Sales'!D22+'Sales'!D31+'Sales'!D23+'Sales'!D24+'Sales'!D25+'Sales'!D26+'Sales'!D27+'Sales'!D28+'Sales'!D29+'Sales'!D30)/('Sales'!C22+'Sales'!C23+'Sales'!C24+'Sales'!C25+'Sales'!C26+'Sales'!C27+'Sales'!C28+'Sales'!C29+'Sales'!C31+'Sales'!C30)-1</f>
        <v>0.0738542438803185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1875" style="25" customWidth="1"/>
    <col min="2" max="2" width="10.3594" style="25" customWidth="1"/>
    <col min="3" max="11" width="9.80469" style="25" customWidth="1"/>
    <col min="12" max="16384" width="16.3516" style="25" customWidth="1"/>
  </cols>
  <sheetData>
    <row r="1" ht="38.1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38</v>
      </c>
      <c r="E3" t="s" s="5">
        <v>24</v>
      </c>
      <c r="F3" t="s" s="5">
        <v>46</v>
      </c>
      <c r="G3" t="s" s="5">
        <v>47</v>
      </c>
      <c r="H3" t="s" s="5">
        <v>48</v>
      </c>
      <c r="I3" t="s" s="5">
        <v>48</v>
      </c>
      <c r="J3" t="s" s="5">
        <v>38</v>
      </c>
      <c r="K3" t="s" s="5">
        <v>49</v>
      </c>
    </row>
    <row r="4" ht="20.25" customHeight="1">
      <c r="B4" s="26">
        <v>2015</v>
      </c>
      <c r="C4" s="27">
        <v>29</v>
      </c>
      <c r="D4" s="28"/>
      <c r="E4" s="28">
        <v>7</v>
      </c>
      <c r="F4" s="28">
        <v>-0.4</v>
      </c>
      <c r="G4" s="29"/>
      <c r="H4" s="30">
        <f>(E4+F4-C4)/C4</f>
        <v>-0.772413793103448</v>
      </c>
      <c r="I4" s="30"/>
      <c r="J4" s="30"/>
      <c r="K4" s="30"/>
    </row>
    <row r="5" ht="20.05" customHeight="1">
      <c r="B5" s="31"/>
      <c r="C5" s="17">
        <v>25</v>
      </c>
      <c r="D5" s="18"/>
      <c r="E5" s="18">
        <v>7</v>
      </c>
      <c r="F5" s="18">
        <v>-1.6</v>
      </c>
      <c r="G5" s="32">
        <f>C5/C4-1</f>
        <v>-0.137931034482759</v>
      </c>
      <c r="H5" s="16">
        <f>(E5+F5-C5)/C5</f>
        <v>-0.784</v>
      </c>
      <c r="I5" s="33"/>
      <c r="J5" s="33"/>
      <c r="K5" s="33"/>
    </row>
    <row r="6" ht="20.05" customHeight="1">
      <c r="B6" s="31"/>
      <c r="C6" s="17">
        <v>22</v>
      </c>
      <c r="D6" s="18"/>
      <c r="E6" s="18">
        <v>7</v>
      </c>
      <c r="F6" s="18">
        <v>-3</v>
      </c>
      <c r="G6" s="32">
        <f>C6/C5-1</f>
        <v>-0.12</v>
      </c>
      <c r="H6" s="16">
        <f>(E6+F6-C6)/C6</f>
        <v>-0.818181818181818</v>
      </c>
      <c r="I6" s="33"/>
      <c r="J6" s="33"/>
      <c r="K6" s="33"/>
    </row>
    <row r="7" ht="20.05" customHeight="1">
      <c r="B7" s="31"/>
      <c r="C7" s="17">
        <v>24</v>
      </c>
      <c r="D7" s="18"/>
      <c r="E7" s="18">
        <v>7</v>
      </c>
      <c r="F7" s="18">
        <v>-5</v>
      </c>
      <c r="G7" s="32">
        <f>C7/C6-1</f>
        <v>0.0909090909090909</v>
      </c>
      <c r="H7" s="16">
        <f>(E7+F7-C7)/C7</f>
        <v>-0.916666666666667</v>
      </c>
      <c r="I7" s="33"/>
      <c r="J7" s="33"/>
      <c r="K7" s="33"/>
    </row>
    <row r="8" ht="20.05" customHeight="1">
      <c r="B8" s="34">
        <v>2016</v>
      </c>
      <c r="C8" s="17">
        <v>23</v>
      </c>
      <c r="D8" s="18"/>
      <c r="E8" s="18">
        <v>7</v>
      </c>
      <c r="F8" s="18">
        <v>-1.5</v>
      </c>
      <c r="G8" s="32">
        <f>C8/C7-1</f>
        <v>-0.0416666666666667</v>
      </c>
      <c r="H8" s="16">
        <f>(E8+F8-C8)/C8</f>
        <v>-0.760869565217391</v>
      </c>
      <c r="I8" s="33"/>
      <c r="J8" s="33"/>
      <c r="K8" s="33"/>
    </row>
    <row r="9" ht="20.05" customHeight="1">
      <c r="B9" s="31"/>
      <c r="C9" s="17">
        <v>26</v>
      </c>
      <c r="D9" s="18"/>
      <c r="E9" s="18">
        <v>7</v>
      </c>
      <c r="F9" s="18">
        <v>1</v>
      </c>
      <c r="G9" s="32">
        <f>C9/C8-1</f>
        <v>0.130434782608696</v>
      </c>
      <c r="H9" s="16">
        <f>(E9+F9-C9)/C9</f>
        <v>-0.692307692307692</v>
      </c>
      <c r="I9" s="33"/>
      <c r="J9" s="33"/>
      <c r="K9" s="33"/>
    </row>
    <row r="10" ht="20.05" customHeight="1">
      <c r="B10" s="31"/>
      <c r="C10" s="17">
        <v>21</v>
      </c>
      <c r="D10" s="18"/>
      <c r="E10" s="18">
        <v>7</v>
      </c>
      <c r="F10" s="18">
        <v>-10.5</v>
      </c>
      <c r="G10" s="32">
        <f>C10/C9-1</f>
        <v>-0.192307692307692</v>
      </c>
      <c r="H10" s="16">
        <f>(E10+F10-C10)/C10</f>
        <v>-1.16666666666667</v>
      </c>
      <c r="I10" s="33"/>
      <c r="J10" s="33"/>
      <c r="K10" s="33"/>
    </row>
    <row r="11" ht="20.05" customHeight="1">
      <c r="B11" s="31"/>
      <c r="C11" s="17">
        <v>20</v>
      </c>
      <c r="D11" s="18"/>
      <c r="E11" s="18">
        <v>7</v>
      </c>
      <c r="F11" s="18">
        <v>-11</v>
      </c>
      <c r="G11" s="32">
        <f>C11/C10-1</f>
        <v>-0.0476190476190476</v>
      </c>
      <c r="H11" s="16">
        <f>(E11+F11-C11)/C11</f>
        <v>-1.2</v>
      </c>
      <c r="I11" s="33"/>
      <c r="J11" s="33"/>
      <c r="K11" s="33"/>
    </row>
    <row r="12" ht="20.05" customHeight="1">
      <c r="B12" s="34">
        <v>2017</v>
      </c>
      <c r="C12" s="17">
        <v>13</v>
      </c>
      <c r="D12" s="18"/>
      <c r="E12" s="18">
        <v>7</v>
      </c>
      <c r="F12" s="18">
        <v>-5</v>
      </c>
      <c r="G12" s="32">
        <f>C12/C11-1</f>
        <v>-0.35</v>
      </c>
      <c r="H12" s="16">
        <f>(E12+F12-C12)/C12</f>
        <v>-0.846153846153846</v>
      </c>
      <c r="I12" s="12">
        <f>AVERAGE(H9:H12)</f>
        <v>-0.976282051282052</v>
      </c>
      <c r="J12" s="33"/>
      <c r="K12" s="33"/>
    </row>
    <row r="13" ht="20.05" customHeight="1">
      <c r="B13" s="31"/>
      <c r="C13" s="17">
        <v>15</v>
      </c>
      <c r="D13" s="18"/>
      <c r="E13" s="18">
        <v>7</v>
      </c>
      <c r="F13" s="18">
        <v>-6</v>
      </c>
      <c r="G13" s="32">
        <f>C13/C12-1</f>
        <v>0.153846153846154</v>
      </c>
      <c r="H13" s="16">
        <f>(E13+F13-C13)/C13</f>
        <v>-0.933333333333333</v>
      </c>
      <c r="I13" s="12">
        <f>AVERAGE(H10:H13)</f>
        <v>-1.03653846153846</v>
      </c>
      <c r="J13" s="33"/>
      <c r="K13" s="33"/>
    </row>
    <row r="14" ht="20.05" customHeight="1">
      <c r="B14" s="31"/>
      <c r="C14" s="17">
        <v>16</v>
      </c>
      <c r="D14" s="18"/>
      <c r="E14" s="18">
        <v>6</v>
      </c>
      <c r="F14" s="18">
        <v>-2</v>
      </c>
      <c r="G14" s="32">
        <f>C14/C13-1</f>
        <v>0.06666666666666669</v>
      </c>
      <c r="H14" s="16">
        <f>(E14+F14-C14)/C14</f>
        <v>-0.75</v>
      </c>
      <c r="I14" s="12">
        <f>AVERAGE(H11:H14)</f>
        <v>-0.932371794871795</v>
      </c>
      <c r="J14" s="33"/>
      <c r="K14" s="33"/>
    </row>
    <row r="15" ht="20.05" customHeight="1">
      <c r="B15" s="31"/>
      <c r="C15" s="17">
        <v>18</v>
      </c>
      <c r="D15" s="18"/>
      <c r="E15" s="18">
        <v>7</v>
      </c>
      <c r="F15" s="18">
        <v>-27</v>
      </c>
      <c r="G15" s="32">
        <f>C15/C14-1</f>
        <v>0.125</v>
      </c>
      <c r="H15" s="16">
        <f>(E15+F15-C15)/C15</f>
        <v>-2.11111111111111</v>
      </c>
      <c r="I15" s="12">
        <f>AVERAGE(H12:H15)</f>
        <v>-1.16014957264957</v>
      </c>
      <c r="J15" s="33"/>
      <c r="K15" s="33"/>
    </row>
    <row r="16" ht="20.05" customHeight="1">
      <c r="B16" s="34">
        <v>2018</v>
      </c>
      <c r="C16" s="17">
        <v>17</v>
      </c>
      <c r="D16" s="18"/>
      <c r="E16" s="18">
        <v>7</v>
      </c>
      <c r="F16" s="18">
        <v>-1</v>
      </c>
      <c r="G16" s="32">
        <f>C16/C15-1</f>
        <v>-0.0555555555555556</v>
      </c>
      <c r="H16" s="16">
        <f>(E16+F16-C16)/C16</f>
        <v>-0.647058823529412</v>
      </c>
      <c r="I16" s="12">
        <f>AVERAGE(H13:H16)</f>
        <v>-1.11037581699346</v>
      </c>
      <c r="J16" s="33"/>
      <c r="K16" s="33"/>
    </row>
    <row r="17" ht="20.05" customHeight="1">
      <c r="B17" s="31"/>
      <c r="C17" s="17">
        <v>16</v>
      </c>
      <c r="D17" s="18"/>
      <c r="E17" s="18">
        <v>6</v>
      </c>
      <c r="F17" s="18">
        <v>-4</v>
      </c>
      <c r="G17" s="32">
        <f>C17/C16-1</f>
        <v>-0.0588235294117647</v>
      </c>
      <c r="H17" s="16">
        <f>(E17+F17-C17)/C17</f>
        <v>-0.875</v>
      </c>
      <c r="I17" s="12">
        <f>AVERAGE(H14:H17)</f>
        <v>-1.09579248366013</v>
      </c>
      <c r="J17" s="33"/>
      <c r="K17" s="33"/>
    </row>
    <row r="18" ht="20.05" customHeight="1">
      <c r="B18" s="31"/>
      <c r="C18" s="17">
        <v>17</v>
      </c>
      <c r="D18" s="18"/>
      <c r="E18" s="18">
        <v>7</v>
      </c>
      <c r="F18" s="18">
        <v>-4</v>
      </c>
      <c r="G18" s="32">
        <f>C18/C17-1</f>
        <v>0.0625</v>
      </c>
      <c r="H18" s="16">
        <f>(E18+F18-C18)/C18</f>
        <v>-0.823529411764706</v>
      </c>
      <c r="I18" s="12">
        <f>AVERAGE(H15:H18)</f>
        <v>-1.11417483660131</v>
      </c>
      <c r="J18" s="33"/>
      <c r="K18" s="33"/>
    </row>
    <row r="19" ht="20.05" customHeight="1">
      <c r="B19" s="31"/>
      <c r="C19" s="17">
        <v>13</v>
      </c>
      <c r="D19" s="18"/>
      <c r="E19" s="18">
        <v>24</v>
      </c>
      <c r="F19" s="18">
        <v>-27</v>
      </c>
      <c r="G19" s="32">
        <f>C19/C18-1</f>
        <v>-0.235294117647059</v>
      </c>
      <c r="H19" s="16">
        <f>(E19+F19-C19)/C19</f>
        <v>-1.23076923076923</v>
      </c>
      <c r="I19" s="12">
        <f>AVERAGE(H16:H19)</f>
        <v>-0.894089366515837</v>
      </c>
      <c r="J19" s="33"/>
      <c r="K19" s="33"/>
    </row>
    <row r="20" ht="20.05" customHeight="1">
      <c r="B20" s="34">
        <v>2019</v>
      </c>
      <c r="C20" s="17">
        <v>12</v>
      </c>
      <c r="D20" s="18"/>
      <c r="E20" s="18">
        <v>6.5</v>
      </c>
      <c r="F20" s="18">
        <v>-2.8</v>
      </c>
      <c r="G20" s="32">
        <f>C20/C19-1</f>
        <v>-0.0769230769230769</v>
      </c>
      <c r="H20" s="16">
        <f>(E20+F20-C20)/C20</f>
        <v>-0.691666666666667</v>
      </c>
      <c r="I20" s="12">
        <f>AVERAGE(H17:H20)</f>
        <v>-0.9052413273001511</v>
      </c>
      <c r="J20" s="33"/>
      <c r="K20" s="33"/>
    </row>
    <row r="21" ht="20.05" customHeight="1">
      <c r="B21" s="31"/>
      <c r="C21" s="17">
        <v>14</v>
      </c>
      <c r="D21" s="18"/>
      <c r="E21" s="18">
        <v>6.2</v>
      </c>
      <c r="F21" s="18">
        <v>-3.2</v>
      </c>
      <c r="G21" s="32">
        <f>C21/C20-1</f>
        <v>0.166666666666667</v>
      </c>
      <c r="H21" s="16">
        <f>(E21+F21-C21)/C21</f>
        <v>-0.785714285714286</v>
      </c>
      <c r="I21" s="12">
        <f>AVERAGE(H18:H21)</f>
        <v>-0.882919898728722</v>
      </c>
      <c r="J21" s="33"/>
      <c r="K21" s="33"/>
    </row>
    <row r="22" ht="20.05" customHeight="1">
      <c r="B22" s="31"/>
      <c r="C22" s="17">
        <v>15</v>
      </c>
      <c r="D22" s="18">
        <v>17.68</v>
      </c>
      <c r="E22" s="18">
        <v>5.3</v>
      </c>
      <c r="F22" s="18">
        <v>-1</v>
      </c>
      <c r="G22" s="32">
        <f>C22/C21-1</f>
        <v>0.0714285714285714</v>
      </c>
      <c r="H22" s="16">
        <f>(E22+F22-C22)/C22</f>
        <v>-0.713333333333333</v>
      </c>
      <c r="I22" s="12">
        <f>AVERAGE(H19:H22)</f>
        <v>-0.8553708791208789</v>
      </c>
      <c r="J22" s="33"/>
      <c r="K22" s="33"/>
    </row>
    <row r="23" ht="20.05" customHeight="1">
      <c r="B23" s="31"/>
      <c r="C23" s="17">
        <v>15</v>
      </c>
      <c r="D23" s="18">
        <v>17.28</v>
      </c>
      <c r="E23" s="18">
        <v>10</v>
      </c>
      <c r="F23" s="18">
        <v>-10</v>
      </c>
      <c r="G23" s="32">
        <f>C23/C22-1</f>
        <v>0</v>
      </c>
      <c r="H23" s="16">
        <f>(E23+F23-C23)/C23</f>
        <v>-1</v>
      </c>
      <c r="I23" s="12">
        <f>AVERAGE(H20:H23)</f>
        <v>-0.797678571428572</v>
      </c>
      <c r="J23" s="33"/>
      <c r="K23" s="33"/>
    </row>
    <row r="24" ht="20.05" customHeight="1">
      <c r="B24" s="34">
        <v>2020</v>
      </c>
      <c r="C24" s="17">
        <v>13</v>
      </c>
      <c r="D24" s="18">
        <v>12</v>
      </c>
      <c r="E24" s="18">
        <v>4</v>
      </c>
      <c r="F24" s="18">
        <v>0.016</v>
      </c>
      <c r="G24" s="32">
        <f>C24/C23-1</f>
        <v>-0.133333333333333</v>
      </c>
      <c r="H24" s="16">
        <f>(E24+F24-C24)/C24</f>
        <v>-0.691076923076923</v>
      </c>
      <c r="I24" s="12">
        <f>AVERAGE(H21:H24)</f>
        <v>-0.797531135531136</v>
      </c>
      <c r="J24" s="16"/>
      <c r="K24" s="16">
        <f>('Cashflow'!D21+'Cashflow'!D22+'Cashflow'!D23+'Cashflow'!D24-'Cashflow'!C21-'Cashflow'!C22-'Cashflow'!C23-'Cashflow'!C24)/('Cashflow'!C21+'Cashflow'!C22+'Cashflow'!C23+'Cashflow'!C24)</f>
        <v>-0.945389994037617</v>
      </c>
    </row>
    <row r="25" ht="20.05" customHeight="1">
      <c r="B25" s="31"/>
      <c r="C25" s="17">
        <v>8.925000000000001</v>
      </c>
      <c r="D25" s="18">
        <v>8.925000000000001</v>
      </c>
      <c r="E25" s="18">
        <v>4</v>
      </c>
      <c r="F25" s="18">
        <v>-4.595</v>
      </c>
      <c r="G25" s="32">
        <f>C25/C24-1</f>
        <v>-0.313461538461538</v>
      </c>
      <c r="H25" s="16">
        <f>(E25+F25-C25)/C25</f>
        <v>-1.06666666666667</v>
      </c>
      <c r="I25" s="12">
        <f>AVERAGE(H22:H25)</f>
        <v>-0.867769230769232</v>
      </c>
      <c r="J25" s="16"/>
      <c r="K25" s="16">
        <f>('Cashflow'!D22+'Cashflow'!D23+'Cashflow'!D24+'Cashflow'!D25-'Cashflow'!C22-'Cashflow'!C23-'Cashflow'!C24-'Cashflow'!C25)/('Cashflow'!C22+'Cashflow'!C23+'Cashflow'!C24+'Cashflow'!C25)</f>
        <v>-0.838033092519226</v>
      </c>
    </row>
    <row r="26" ht="20.05" customHeight="1">
      <c r="B26" s="31"/>
      <c r="C26" s="17">
        <v>9.475</v>
      </c>
      <c r="D26" s="18">
        <v>12.75</v>
      </c>
      <c r="E26" s="18">
        <v>4</v>
      </c>
      <c r="F26" s="18">
        <v>-3.921</v>
      </c>
      <c r="G26" s="32">
        <f>C26/C25-1</f>
        <v>0.061624649859944</v>
      </c>
      <c r="H26" s="16">
        <f>(E26+F26-C26)/C26</f>
        <v>-0.991662269129288</v>
      </c>
      <c r="I26" s="12">
        <f>AVERAGE(H23:H26)</f>
        <v>-0.93735146471822</v>
      </c>
      <c r="J26" s="16"/>
      <c r="K26" s="16">
        <f>('Cashflow'!D23+'Cashflow'!D24+'Cashflow'!D25+'Cashflow'!D26-'Cashflow'!C23-'Cashflow'!C24-'Cashflow'!C25-'Cashflow'!C26)/('Cashflow'!C23+'Cashflow'!C24+'Cashflow'!C25+'Cashflow'!C26)</f>
        <v>-0.754605444047292</v>
      </c>
    </row>
    <row r="27" ht="20.05" customHeight="1">
      <c r="B27" s="31"/>
      <c r="C27" s="17">
        <f>42.371-SUM(C24:C26)</f>
        <v>10.971</v>
      </c>
      <c r="D27" s="18">
        <v>10.51725</v>
      </c>
      <c r="E27" s="18">
        <v>4</v>
      </c>
      <c r="F27" s="18">
        <f>-14.933-SUM(F24:F26)</f>
        <v>-6.433</v>
      </c>
      <c r="G27" s="32">
        <f>C27/C26-1</f>
        <v>0.157889182058047</v>
      </c>
      <c r="H27" s="16">
        <f>(E27+F27-C27)/C27</f>
        <v>-1.22176647525294</v>
      </c>
      <c r="I27" s="12">
        <f>AVERAGE(H24:H27)</f>
        <v>-0.992793083531455</v>
      </c>
      <c r="J27" s="16"/>
      <c r="K27" s="16">
        <f>('Cashflow'!D24+'Cashflow'!D25+'Cashflow'!D26+'Cashflow'!D27-'Cashflow'!C24-'Cashflow'!C25-'Cashflow'!C26-'Cashflow'!C27)/('Cashflow'!C24+'Cashflow'!C25+'Cashflow'!C26+'Cashflow'!C27)</f>
        <v>-0.861302996287022</v>
      </c>
    </row>
    <row r="28" ht="20.05" customHeight="1">
      <c r="B28" s="34">
        <v>2021</v>
      </c>
      <c r="C28" s="17">
        <v>10.213</v>
      </c>
      <c r="D28" s="18">
        <v>10.64187</v>
      </c>
      <c r="E28" s="18">
        <v>3.3</v>
      </c>
      <c r="F28" s="18">
        <v>0.05</v>
      </c>
      <c r="G28" s="32">
        <f>C28/C27-1</f>
        <v>-0.0690912405432504</v>
      </c>
      <c r="H28" s="16">
        <f>(E28+F28-C28)/C28</f>
        <v>-0.6719866836385</v>
      </c>
      <c r="I28" s="12">
        <f>AVERAGE(H25:H28)</f>
        <v>-0.98802052367185</v>
      </c>
      <c r="J28" s="16"/>
      <c r="K28" s="16">
        <f>('Cashflow'!D25+'Cashflow'!D26+'Cashflow'!D27+'Cashflow'!D28-'Cashflow'!C25-'Cashflow'!C26-'Cashflow'!C27-'Cashflow'!C28)/('Cashflow'!C25+'Cashflow'!C26+'Cashflow'!C27+'Cashflow'!C28)</f>
        <v>-0.798287203143687</v>
      </c>
    </row>
    <row r="29" ht="20.05" customHeight="1">
      <c r="B29" s="31"/>
      <c r="C29" s="17">
        <f>20.1-C28</f>
        <v>9.887</v>
      </c>
      <c r="D29" s="18">
        <v>11.74495</v>
      </c>
      <c r="E29" s="18">
        <v>3.3</v>
      </c>
      <c r="F29" s="18">
        <f>0.04-F28</f>
        <v>-0.01</v>
      </c>
      <c r="G29" s="32">
        <f>C29/C28-1</f>
        <v>-0.0319201018309997</v>
      </c>
      <c r="H29" s="16">
        <f>(E29+F29-C29)/C29</f>
        <v>-0.66723980985132</v>
      </c>
      <c r="I29" s="12">
        <f>AVERAGE(H26:H29)</f>
        <v>-0.888163809468012</v>
      </c>
      <c r="J29" s="16"/>
      <c r="K29" s="16">
        <f>('Cashflow'!D26+'Cashflow'!D27+'Cashflow'!D28+'Cashflow'!D29-'Cashflow'!C26-'Cashflow'!C27-'Cashflow'!C28-'Cashflow'!C29)/('Cashflow'!C26+'Cashflow'!C27+'Cashflow'!C28+'Cashflow'!C29)</f>
        <v>-0.867820878946533</v>
      </c>
    </row>
    <row r="30" ht="20.05" customHeight="1">
      <c r="B30" s="31"/>
      <c r="C30" s="17">
        <f>30.2-C29-C28</f>
        <v>10.1</v>
      </c>
      <c r="D30" s="18">
        <v>9.98587</v>
      </c>
      <c r="E30" s="18">
        <v>3.3</v>
      </c>
      <c r="F30" s="18">
        <f>0.5-F29-F28</f>
        <v>0.46</v>
      </c>
      <c r="G30" s="32">
        <f>C30/C29-1</f>
        <v>0.0215434408819662</v>
      </c>
      <c r="H30" s="16">
        <f>(E30+F30-C30)/C30</f>
        <v>-0.6277227722772279</v>
      </c>
      <c r="I30" s="12">
        <f>AVERAGE(H27:H30)</f>
        <v>-0.7971789352549969</v>
      </c>
      <c r="J30" s="16"/>
      <c r="K30" s="16">
        <f>('Cashflow'!D27+'Cashflow'!D28+'Cashflow'!D29+'Cashflow'!D30-'Cashflow'!C27-'Cashflow'!C28-'Cashflow'!C29-'Cashflow'!C30)/('Cashflow'!C27+'Cashflow'!C28+'Cashflow'!C29+'Cashflow'!C30)</f>
        <v>-0.905588796392647</v>
      </c>
    </row>
    <row r="31" ht="20.05" customHeight="1">
      <c r="B31" s="31"/>
      <c r="C31" s="17">
        <f>42.3-C30-C29-C28</f>
        <v>12.1</v>
      </c>
      <c r="D31" s="21">
        <v>11.615</v>
      </c>
      <c r="E31" s="18">
        <v>3.3</v>
      </c>
      <c r="F31" s="18">
        <f>0.13-F30-F29-F28</f>
        <v>-0.37</v>
      </c>
      <c r="G31" s="32">
        <f>C31/C30-1</f>
        <v>0.198019801980198</v>
      </c>
      <c r="H31" s="16">
        <f>(E31+F31-C31)/C31</f>
        <v>-0.757851239669421</v>
      </c>
      <c r="I31" s="12">
        <f>AVERAGE(H28:H31)</f>
        <v>-0.681200126359117</v>
      </c>
      <c r="J31" s="16">
        <f>I31</f>
        <v>-0.681200126359117</v>
      </c>
      <c r="K31" s="16">
        <f>('Cashflow'!D28+'Cashflow'!D29+'Cashflow'!D30+'Cashflow'!D31-'Cashflow'!C28-'Cashflow'!C29-'Cashflow'!C30-'Cashflow'!C31)/('Cashflow'!C28+'Cashflow'!C29+'Cashflow'!C30+'Cashflow'!C31)</f>
        <v>-0.830143540669856</v>
      </c>
    </row>
    <row r="32" ht="20.05" customHeight="1">
      <c r="B32" s="34">
        <v>2022</v>
      </c>
      <c r="C32" s="17"/>
      <c r="D32" s="21">
        <f>'Model'!C6</f>
        <v>11.979</v>
      </c>
      <c r="E32" s="18"/>
      <c r="F32" s="18"/>
      <c r="G32" s="12"/>
      <c r="H32" s="12"/>
      <c r="I32" s="33"/>
      <c r="J32" s="12">
        <f>'Model'!C7</f>
        <v>-0.681200126359117</v>
      </c>
      <c r="K32" s="33"/>
    </row>
    <row r="33" ht="20.05" customHeight="1">
      <c r="B33" s="31"/>
      <c r="C33" s="17"/>
      <c r="D33" s="18">
        <f>'Model'!D6</f>
        <v>12.57795</v>
      </c>
      <c r="E33" s="18"/>
      <c r="F33" s="18"/>
      <c r="G33" s="12"/>
      <c r="H33" s="12"/>
      <c r="I33" s="33"/>
      <c r="J33" s="33"/>
      <c r="K33" s="33"/>
    </row>
    <row r="34" ht="20.05" customHeight="1">
      <c r="B34" s="31"/>
      <c r="C34" s="17"/>
      <c r="D34" s="18">
        <f>'Model'!E6</f>
        <v>13.2068475</v>
      </c>
      <c r="E34" s="18"/>
      <c r="F34" s="18"/>
      <c r="G34" s="12"/>
      <c r="H34" s="12"/>
      <c r="I34" s="33"/>
      <c r="J34" s="33"/>
      <c r="K34" s="33"/>
    </row>
    <row r="35" ht="20.05" customHeight="1">
      <c r="B35" s="31"/>
      <c r="C35" s="17"/>
      <c r="D35" s="18">
        <f>'Model'!F6</f>
        <v>14.131326825</v>
      </c>
      <c r="E35" s="18"/>
      <c r="F35" s="18"/>
      <c r="G35" s="12"/>
      <c r="H35" s="12"/>
      <c r="I35" s="33"/>
      <c r="J35" s="33"/>
      <c r="K35" s="3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9844" style="35" customWidth="1"/>
    <col min="2" max="2" width="11.6562" style="35" customWidth="1"/>
    <col min="3" max="14" width="11.0625" style="35" customWidth="1"/>
    <col min="15" max="16384" width="16.3516" style="35" customWidth="1"/>
  </cols>
  <sheetData>
    <row r="1" ht="14.8" customHeight="1"/>
    <row r="2" ht="27.65" customHeight="1">
      <c r="B2" t="s" s="2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50</v>
      </c>
      <c r="D3" t="s" s="5">
        <v>51</v>
      </c>
      <c r="E3" t="s" s="5">
        <v>52</v>
      </c>
      <c r="F3" t="s" s="5">
        <v>11</v>
      </c>
      <c r="G3" t="s" s="5">
        <v>26</v>
      </c>
      <c r="H3" t="s" s="5">
        <v>10</v>
      </c>
      <c r="I3" t="s" s="5">
        <v>53</v>
      </c>
      <c r="J3" t="s" s="5">
        <v>36</v>
      </c>
      <c r="K3" t="s" s="5">
        <v>38</v>
      </c>
      <c r="L3" t="s" s="5">
        <v>31</v>
      </c>
      <c r="M3" t="s" s="5">
        <v>38</v>
      </c>
      <c r="N3" s="36"/>
    </row>
    <row r="4" ht="20.25" customHeight="1">
      <c r="B4" s="26">
        <v>2015</v>
      </c>
      <c r="C4" s="37"/>
      <c r="D4" s="28">
        <v>9</v>
      </c>
      <c r="E4" s="28">
        <v>-0.4</v>
      </c>
      <c r="F4" s="28"/>
      <c r="G4" s="28"/>
      <c r="H4" s="28">
        <v>-11</v>
      </c>
      <c r="I4" s="28">
        <f>D4+E4</f>
        <v>8.6</v>
      </c>
      <c r="J4" s="28"/>
      <c r="K4" s="28"/>
      <c r="L4" s="28">
        <f>-H4</f>
        <v>11</v>
      </c>
      <c r="M4" s="28"/>
      <c r="N4" s="38">
        <v>1</v>
      </c>
    </row>
    <row r="5" ht="20.05" customHeight="1">
      <c r="B5" s="31"/>
      <c r="C5" s="20"/>
      <c r="D5" s="18">
        <v>6</v>
      </c>
      <c r="E5" s="18">
        <v>-1.6</v>
      </c>
      <c r="F5" s="18"/>
      <c r="G5" s="18"/>
      <c r="H5" s="18">
        <v>-9</v>
      </c>
      <c r="I5" s="18">
        <f>D5+E5</f>
        <v>4.4</v>
      </c>
      <c r="J5" s="18"/>
      <c r="K5" s="18"/>
      <c r="L5" s="18">
        <f>-H5+L4</f>
        <v>20</v>
      </c>
      <c r="M5" s="18"/>
      <c r="N5" s="23">
        <f>1+N4</f>
        <v>2</v>
      </c>
    </row>
    <row r="6" ht="20.05" customHeight="1">
      <c r="B6" s="31"/>
      <c r="C6" s="20"/>
      <c r="D6" s="18">
        <v>3</v>
      </c>
      <c r="E6" s="18">
        <v>-10</v>
      </c>
      <c r="F6" s="18"/>
      <c r="G6" s="18"/>
      <c r="H6" s="18">
        <v>3</v>
      </c>
      <c r="I6" s="18">
        <f>D6+E6</f>
        <v>-7</v>
      </c>
      <c r="J6" s="18"/>
      <c r="K6" s="18"/>
      <c r="L6" s="18">
        <f>-H6+L5</f>
        <v>17</v>
      </c>
      <c r="M6" s="18"/>
      <c r="N6" s="23">
        <f>1+N5</f>
        <v>3</v>
      </c>
    </row>
    <row r="7" ht="20.05" customHeight="1">
      <c r="B7" s="31"/>
      <c r="C7" s="20"/>
      <c r="D7" s="18">
        <v>19</v>
      </c>
      <c r="E7" s="18">
        <v>0</v>
      </c>
      <c r="F7" s="18"/>
      <c r="G7" s="18"/>
      <c r="H7" s="18">
        <v>-21</v>
      </c>
      <c r="I7" s="18">
        <f>D7+E7</f>
        <v>19</v>
      </c>
      <c r="J7" s="18"/>
      <c r="K7" s="18"/>
      <c r="L7" s="18">
        <f>-H7+L6</f>
        <v>38</v>
      </c>
      <c r="M7" s="18"/>
      <c r="N7" s="23">
        <f>1+N6</f>
        <v>4</v>
      </c>
    </row>
    <row r="8" ht="20.05" customHeight="1">
      <c r="B8" s="34">
        <v>2016</v>
      </c>
      <c r="C8" s="20"/>
      <c r="D8" s="18">
        <v>0</v>
      </c>
      <c r="E8" s="18">
        <v>1.6</v>
      </c>
      <c r="F8" s="18"/>
      <c r="G8" s="18"/>
      <c r="H8" s="18">
        <v>-7</v>
      </c>
      <c r="I8" s="18">
        <f>D8+E8</f>
        <v>1.6</v>
      </c>
      <c r="J8" s="18">
        <f>AVERAGE(I5:I8)</f>
        <v>4.5</v>
      </c>
      <c r="K8" s="18"/>
      <c r="L8" s="18">
        <f>-H8+L7</f>
        <v>45</v>
      </c>
      <c r="M8" s="18"/>
      <c r="N8" s="23">
        <f>1+N7</f>
        <v>5</v>
      </c>
    </row>
    <row r="9" ht="20.05" customHeight="1">
      <c r="B9" s="31"/>
      <c r="C9" s="20"/>
      <c r="D9" s="18">
        <v>8</v>
      </c>
      <c r="E9" s="18">
        <v>-1.4</v>
      </c>
      <c r="F9" s="18"/>
      <c r="G9" s="18"/>
      <c r="H9" s="18">
        <v>-4</v>
      </c>
      <c r="I9" s="18">
        <f>D9+E9</f>
        <v>6.6</v>
      </c>
      <c r="J9" s="18">
        <f>AVERAGE(I6:I9)</f>
        <v>5.05</v>
      </c>
      <c r="K9" s="18"/>
      <c r="L9" s="18">
        <f>-H9+L8</f>
        <v>49</v>
      </c>
      <c r="M9" s="18"/>
      <c r="N9" s="23">
        <f>1+N8</f>
        <v>6</v>
      </c>
    </row>
    <row r="10" ht="20.05" customHeight="1">
      <c r="B10" s="31"/>
      <c r="C10" s="20"/>
      <c r="D10" s="18">
        <v>11</v>
      </c>
      <c r="E10" s="18">
        <v>-0.2</v>
      </c>
      <c r="F10" s="18"/>
      <c r="G10" s="18"/>
      <c r="H10" s="18">
        <v>-8</v>
      </c>
      <c r="I10" s="18">
        <f>D10+E10</f>
        <v>10.8</v>
      </c>
      <c r="J10" s="18">
        <f>AVERAGE(I7:I10)</f>
        <v>9.5</v>
      </c>
      <c r="K10" s="18"/>
      <c r="L10" s="18">
        <f>-H10+L9</f>
        <v>57</v>
      </c>
      <c r="M10" s="18"/>
      <c r="N10" s="23">
        <f>1+N9</f>
        <v>7</v>
      </c>
    </row>
    <row r="11" ht="20.05" customHeight="1">
      <c r="B11" s="31"/>
      <c r="C11" s="20"/>
      <c r="D11" s="18">
        <v>14</v>
      </c>
      <c r="E11" s="18">
        <v>-1</v>
      </c>
      <c r="F11" s="18"/>
      <c r="G11" s="18"/>
      <c r="H11" s="18">
        <v>-14</v>
      </c>
      <c r="I11" s="18">
        <f>D11+E11</f>
        <v>13</v>
      </c>
      <c r="J11" s="18">
        <f>AVERAGE(I8:I11)</f>
        <v>8</v>
      </c>
      <c r="K11" s="18"/>
      <c r="L11" s="18">
        <f>-H11+L10</f>
        <v>71</v>
      </c>
      <c r="M11" s="18"/>
      <c r="N11" s="23">
        <f>1+N10</f>
        <v>8</v>
      </c>
    </row>
    <row r="12" ht="20.05" customHeight="1">
      <c r="B12" s="34">
        <v>2017</v>
      </c>
      <c r="C12" s="20"/>
      <c r="D12" s="18">
        <v>5</v>
      </c>
      <c r="E12" s="18">
        <v>-1</v>
      </c>
      <c r="F12" s="18"/>
      <c r="G12" s="18"/>
      <c r="H12" s="18">
        <v>-5</v>
      </c>
      <c r="I12" s="18">
        <f>D12+E12</f>
        <v>4</v>
      </c>
      <c r="J12" s="18">
        <f>AVERAGE(I9:I12)</f>
        <v>8.6</v>
      </c>
      <c r="K12" s="18"/>
      <c r="L12" s="18">
        <f>-H12+L11</f>
        <v>76</v>
      </c>
      <c r="M12" s="18"/>
      <c r="N12" s="23">
        <f>1+N11</f>
        <v>9</v>
      </c>
    </row>
    <row r="13" ht="20.05" customHeight="1">
      <c r="B13" s="31"/>
      <c r="C13" s="20"/>
      <c r="D13" s="18">
        <v>-2</v>
      </c>
      <c r="E13" s="18">
        <v>1.5</v>
      </c>
      <c r="F13" s="18"/>
      <c r="G13" s="18"/>
      <c r="H13" s="18">
        <v>-6</v>
      </c>
      <c r="I13" s="18">
        <f>D13+E13</f>
        <v>-0.5</v>
      </c>
      <c r="J13" s="18">
        <f>AVERAGE(I10:I13)</f>
        <v>6.825</v>
      </c>
      <c r="K13" s="18"/>
      <c r="L13" s="18">
        <f>-H13+L12</f>
        <v>82</v>
      </c>
      <c r="M13" s="18"/>
      <c r="N13" s="23">
        <f>1+N12</f>
        <v>10</v>
      </c>
    </row>
    <row r="14" ht="20.05" customHeight="1">
      <c r="B14" s="31"/>
      <c r="C14" s="20"/>
      <c r="D14" s="18">
        <v>5</v>
      </c>
      <c r="E14" s="18">
        <v>-1.5</v>
      </c>
      <c r="F14" s="18"/>
      <c r="G14" s="18"/>
      <c r="H14" s="18">
        <v>-3</v>
      </c>
      <c r="I14" s="18">
        <f>D14+E14</f>
        <v>3.5</v>
      </c>
      <c r="J14" s="18">
        <f>AVERAGE(I11:I14)</f>
        <v>5</v>
      </c>
      <c r="K14" s="18"/>
      <c r="L14" s="18">
        <f>-H14+L13</f>
        <v>85</v>
      </c>
      <c r="M14" s="18"/>
      <c r="N14" s="23">
        <f>1+N13</f>
        <v>11</v>
      </c>
    </row>
    <row r="15" ht="20.05" customHeight="1">
      <c r="B15" s="31"/>
      <c r="C15" s="20"/>
      <c r="D15" s="18">
        <v>11</v>
      </c>
      <c r="E15" s="18">
        <v>-3</v>
      </c>
      <c r="F15" s="18"/>
      <c r="G15" s="18"/>
      <c r="H15" s="18">
        <v>-10</v>
      </c>
      <c r="I15" s="18">
        <f>D15+E15</f>
        <v>8</v>
      </c>
      <c r="J15" s="18">
        <f>AVERAGE(I12:I15)</f>
        <v>3.75</v>
      </c>
      <c r="K15" s="18"/>
      <c r="L15" s="18">
        <f>-H15+L14</f>
        <v>95</v>
      </c>
      <c r="M15" s="18"/>
      <c r="N15" s="23">
        <f>1+N14</f>
        <v>12</v>
      </c>
    </row>
    <row r="16" ht="20.05" customHeight="1">
      <c r="B16" s="34">
        <v>2018</v>
      </c>
      <c r="C16" s="20"/>
      <c r="D16" s="18">
        <v>5</v>
      </c>
      <c r="E16" s="18">
        <v>-0.2</v>
      </c>
      <c r="F16" s="18"/>
      <c r="G16" s="18"/>
      <c r="H16" s="18">
        <v>-5</v>
      </c>
      <c r="I16" s="18">
        <f>D16+E16</f>
        <v>4.8</v>
      </c>
      <c r="J16" s="18">
        <f>AVERAGE(I13:I16)</f>
        <v>3.95</v>
      </c>
      <c r="K16" s="18"/>
      <c r="L16" s="18">
        <f>-H16+L15</f>
        <v>100</v>
      </c>
      <c r="M16" s="18"/>
      <c r="N16" s="23">
        <f>1+N15</f>
        <v>13</v>
      </c>
    </row>
    <row r="17" ht="20.05" customHeight="1">
      <c r="B17" s="31"/>
      <c r="C17" s="20"/>
      <c r="D17" s="18">
        <v>4</v>
      </c>
      <c r="E17" s="18">
        <v>-0.3</v>
      </c>
      <c r="F17" s="18"/>
      <c r="G17" s="18"/>
      <c r="H17" s="18">
        <v>-4</v>
      </c>
      <c r="I17" s="18">
        <f>D17+E17</f>
        <v>3.7</v>
      </c>
      <c r="J17" s="18">
        <f>AVERAGE(I14:I17)</f>
        <v>5</v>
      </c>
      <c r="K17" s="18"/>
      <c r="L17" s="18">
        <f>-H17+L16</f>
        <v>104</v>
      </c>
      <c r="M17" s="18"/>
      <c r="N17" s="23">
        <f>1+N16</f>
        <v>14</v>
      </c>
    </row>
    <row r="18" ht="20.05" customHeight="1">
      <c r="B18" s="31"/>
      <c r="C18" s="20"/>
      <c r="D18" s="18">
        <v>4</v>
      </c>
      <c r="E18" s="18">
        <v>-0.5</v>
      </c>
      <c r="F18" s="18"/>
      <c r="G18" s="18"/>
      <c r="H18" s="18">
        <v>-4</v>
      </c>
      <c r="I18" s="18">
        <f>D18+E18</f>
        <v>3.5</v>
      </c>
      <c r="J18" s="18">
        <f>AVERAGE(I15:I18)</f>
        <v>5</v>
      </c>
      <c r="K18" s="18"/>
      <c r="L18" s="18">
        <f>-H18+L17</f>
        <v>108</v>
      </c>
      <c r="M18" s="18"/>
      <c r="N18" s="23">
        <f>1+N17</f>
        <v>15</v>
      </c>
    </row>
    <row r="19" ht="20.05" customHeight="1">
      <c r="B19" s="31"/>
      <c r="C19" s="20"/>
      <c r="D19" s="18">
        <v>3</v>
      </c>
      <c r="E19" s="18">
        <v>0</v>
      </c>
      <c r="F19" s="18"/>
      <c r="G19" s="18"/>
      <c r="H19" s="18">
        <v>-4</v>
      </c>
      <c r="I19" s="18">
        <f>D19+E19</f>
        <v>3</v>
      </c>
      <c r="J19" s="18">
        <f>AVERAGE(I16:I19)</f>
        <v>3.75</v>
      </c>
      <c r="K19" s="18"/>
      <c r="L19" s="18">
        <f>-H19+L18</f>
        <v>112</v>
      </c>
      <c r="M19" s="18"/>
      <c r="N19" s="23">
        <f>1+N18</f>
        <v>16</v>
      </c>
    </row>
    <row r="20" ht="20.05" customHeight="1">
      <c r="B20" s="34">
        <v>2019</v>
      </c>
      <c r="C20" s="17">
        <v>11.8</v>
      </c>
      <c r="D20" s="18">
        <v>2.485</v>
      </c>
      <c r="E20" s="18">
        <v>0.531</v>
      </c>
      <c r="F20" s="18"/>
      <c r="G20" s="18"/>
      <c r="H20" s="18">
        <v>-3.18</v>
      </c>
      <c r="I20" s="18">
        <f>D20+E20</f>
        <v>3.016</v>
      </c>
      <c r="J20" s="18">
        <f>AVERAGE(I17:I20)</f>
        <v>3.304</v>
      </c>
      <c r="K20" s="18"/>
      <c r="L20" s="18">
        <f>-H20+L19</f>
        <v>115.18</v>
      </c>
      <c r="M20" s="18"/>
      <c r="N20" s="23">
        <f>1+N19</f>
        <v>17</v>
      </c>
    </row>
    <row r="21" ht="20.05" customHeight="1">
      <c r="B21" s="31"/>
      <c r="C21" s="17">
        <f>22.57-C20</f>
        <v>10.77</v>
      </c>
      <c r="D21" s="18">
        <v>-0.185</v>
      </c>
      <c r="E21" s="18">
        <v>-0.711</v>
      </c>
      <c r="F21" s="18"/>
      <c r="G21" s="18"/>
      <c r="H21" s="18">
        <v>-0.58</v>
      </c>
      <c r="I21" s="18">
        <f>D21+E21</f>
        <v>-0.896</v>
      </c>
      <c r="J21" s="18">
        <f>AVERAGE(I18:I21)</f>
        <v>2.155</v>
      </c>
      <c r="K21" s="18"/>
      <c r="L21" s="18">
        <f>-H21+L20</f>
        <v>115.76</v>
      </c>
      <c r="M21" s="18"/>
      <c r="N21" s="23">
        <f>1+N20</f>
        <v>18</v>
      </c>
    </row>
    <row r="22" ht="20.05" customHeight="1">
      <c r="B22" s="31"/>
      <c r="C22" s="17">
        <f>38.898-C21-C20</f>
        <v>16.328</v>
      </c>
      <c r="D22" s="18">
        <v>-0.17</v>
      </c>
      <c r="E22" s="18">
        <v>2.38</v>
      </c>
      <c r="F22" s="18"/>
      <c r="G22" s="18"/>
      <c r="H22" s="18">
        <v>-1.84</v>
      </c>
      <c r="I22" s="18">
        <f>D22+E22</f>
        <v>2.21</v>
      </c>
      <c r="J22" s="18">
        <f>AVERAGE(I19:I22)</f>
        <v>1.8325</v>
      </c>
      <c r="K22" s="18"/>
      <c r="L22" s="18">
        <f>-H22+L21</f>
        <v>117.6</v>
      </c>
      <c r="M22" s="18"/>
      <c r="N22" s="23">
        <f>1+N21</f>
        <v>19</v>
      </c>
    </row>
    <row r="23" ht="20.05" customHeight="1">
      <c r="B23" s="31"/>
      <c r="C23" s="17">
        <v>0</v>
      </c>
      <c r="D23" s="18">
        <v>0.67</v>
      </c>
      <c r="E23" s="18">
        <v>0.7</v>
      </c>
      <c r="F23" s="18"/>
      <c r="G23" s="18"/>
      <c r="H23" s="18">
        <v>-0.7</v>
      </c>
      <c r="I23" s="18">
        <f>D23+E23</f>
        <v>1.37</v>
      </c>
      <c r="J23" s="18">
        <f>AVERAGE(I20:I23)</f>
        <v>1.425</v>
      </c>
      <c r="K23" s="18"/>
      <c r="L23" s="18">
        <f>-H23+L22</f>
        <v>118.3</v>
      </c>
      <c r="M23" s="18"/>
      <c r="N23" s="23">
        <f>1+N22</f>
        <v>20</v>
      </c>
    </row>
    <row r="24" ht="20.05" customHeight="1">
      <c r="B24" s="34">
        <v>2020</v>
      </c>
      <c r="C24" s="17">
        <v>9.800000000000001</v>
      </c>
      <c r="D24" s="18">
        <v>1.7</v>
      </c>
      <c r="E24" s="18">
        <v>-1</v>
      </c>
      <c r="F24" s="18"/>
      <c r="G24" s="18"/>
      <c r="H24" s="18">
        <v>-2.4</v>
      </c>
      <c r="I24" s="18">
        <f>D24+E24</f>
        <v>0.7</v>
      </c>
      <c r="J24" s="18">
        <f>AVERAGE(I21:I24)</f>
        <v>0.846</v>
      </c>
      <c r="K24" s="18"/>
      <c r="L24" s="18">
        <f>-H24+L23</f>
        <v>120.7</v>
      </c>
      <c r="M24" s="18"/>
      <c r="N24" s="23">
        <f>1+N23</f>
        <v>21</v>
      </c>
    </row>
    <row r="25" ht="20.05" customHeight="1">
      <c r="B25" s="31"/>
      <c r="C25" s="17">
        <f>18-C24</f>
        <v>8.199999999999999</v>
      </c>
      <c r="D25" s="18">
        <v>3.36</v>
      </c>
      <c r="E25" s="18">
        <v>1</v>
      </c>
      <c r="F25" s="18"/>
      <c r="G25" s="18"/>
      <c r="H25" s="18">
        <v>-2.05</v>
      </c>
      <c r="I25" s="18">
        <f>D25+E25</f>
        <v>4.36</v>
      </c>
      <c r="J25" s="18">
        <f>AVERAGE(I22:I25)</f>
        <v>2.16</v>
      </c>
      <c r="K25" s="18"/>
      <c r="L25" s="18">
        <f>-H25+L24</f>
        <v>122.75</v>
      </c>
      <c r="M25" s="18"/>
      <c r="N25" s="23">
        <f>1+N24</f>
        <v>22</v>
      </c>
    </row>
    <row r="26" ht="20.05" customHeight="1">
      <c r="B26" s="31"/>
      <c r="C26" s="17">
        <f>29.096-C25-C24</f>
        <v>11.096</v>
      </c>
      <c r="D26" s="18">
        <v>1.41</v>
      </c>
      <c r="E26" s="18">
        <v>0.143</v>
      </c>
      <c r="F26" s="18"/>
      <c r="G26" s="18"/>
      <c r="H26" s="18">
        <v>-1.422</v>
      </c>
      <c r="I26" s="18">
        <f>D26+E26</f>
        <v>1.553</v>
      </c>
      <c r="J26" s="18">
        <f>AVERAGE(I23:I26)</f>
        <v>1.99575</v>
      </c>
      <c r="K26" s="18"/>
      <c r="L26" s="18">
        <f>-H26+L25</f>
        <v>124.172</v>
      </c>
      <c r="M26" s="18"/>
      <c r="N26" s="23">
        <f>1+N25</f>
        <v>23</v>
      </c>
    </row>
    <row r="27" ht="20.05" customHeight="1">
      <c r="B27" s="31"/>
      <c r="C27" s="17">
        <f>46.324-SUM(C24:C26)</f>
        <v>17.228</v>
      </c>
      <c r="D27" s="18">
        <f>6.425-SUM(D24:D26)</f>
        <v>-0.045</v>
      </c>
      <c r="E27" s="18">
        <f>1.841-SUM(E24:E26)</f>
        <v>1.698</v>
      </c>
      <c r="F27" s="18"/>
      <c r="G27" s="18"/>
      <c r="H27" s="18">
        <f>-9.912-SUM(H24:H26)</f>
        <v>-4.04</v>
      </c>
      <c r="I27" s="18">
        <f>D27+E27</f>
        <v>1.653</v>
      </c>
      <c r="J27" s="18">
        <f>AVERAGE(I24:I27)</f>
        <v>2.0665</v>
      </c>
      <c r="K27" s="18"/>
      <c r="L27" s="18">
        <f>-H27+L26</f>
        <v>128.212</v>
      </c>
      <c r="M27" s="18"/>
      <c r="N27" s="23">
        <f>1+N26</f>
        <v>24</v>
      </c>
    </row>
    <row r="28" ht="20.05" customHeight="1">
      <c r="B28" s="34">
        <v>2021</v>
      </c>
      <c r="C28" s="17">
        <v>10.3</v>
      </c>
      <c r="D28" s="18">
        <v>4.72</v>
      </c>
      <c r="E28" s="18">
        <v>-0.17</v>
      </c>
      <c r="F28" s="18">
        <v>-2.1</v>
      </c>
      <c r="G28" s="18"/>
      <c r="H28" s="18">
        <v>-4.8</v>
      </c>
      <c r="I28" s="18">
        <f>D28+E28</f>
        <v>4.55</v>
      </c>
      <c r="J28" s="18">
        <f>AVERAGE(I25:I28)</f>
        <v>3.029</v>
      </c>
      <c r="K28" s="18"/>
      <c r="L28" s="18">
        <f>-H28+L27</f>
        <v>133.012</v>
      </c>
      <c r="M28" s="18"/>
      <c r="N28" s="23">
        <f>1+N27</f>
        <v>25</v>
      </c>
    </row>
    <row r="29" ht="20.05" customHeight="1">
      <c r="B29" s="31"/>
      <c r="C29" s="17">
        <f>22.1-C28</f>
        <v>11.8</v>
      </c>
      <c r="D29" s="18">
        <f>5.3-D28</f>
        <v>0.58</v>
      </c>
      <c r="E29" s="18">
        <f>-0.6-E28</f>
        <v>-0.43</v>
      </c>
      <c r="F29" s="18">
        <f>-6-F28</f>
        <v>-3.9</v>
      </c>
      <c r="G29" s="18">
        <v>0.75</v>
      </c>
      <c r="H29" s="18">
        <f>-4.5-H28</f>
        <v>0.3</v>
      </c>
      <c r="I29" s="18">
        <f>D29+E29</f>
        <v>0.15</v>
      </c>
      <c r="J29" s="18">
        <f>AVERAGE(I26:I29)</f>
        <v>1.9765</v>
      </c>
      <c r="K29" s="18"/>
      <c r="L29" s="18">
        <f>-H29+L28</f>
        <v>132.712</v>
      </c>
      <c r="M29" s="18"/>
      <c r="N29" s="23">
        <f>1+N28</f>
        <v>26</v>
      </c>
    </row>
    <row r="30" ht="20.05" customHeight="1">
      <c r="B30" s="31"/>
      <c r="C30" s="17">
        <f>28.9-C29-C28</f>
        <v>6.8</v>
      </c>
      <c r="D30" s="18">
        <f>4.4-D29-D28</f>
        <v>-0.9</v>
      </c>
      <c r="E30" s="18">
        <f>9.4-E29-E28</f>
        <v>10</v>
      </c>
      <c r="F30" s="18">
        <f>-14-F29-F28</f>
        <v>-8</v>
      </c>
      <c r="G30" s="18">
        <f>0.75-G29</f>
        <v>0</v>
      </c>
      <c r="H30" s="18">
        <f>-14.4-H29-H28</f>
        <v>-9.9</v>
      </c>
      <c r="I30" s="18">
        <f>D30+E30</f>
        <v>9.1</v>
      </c>
      <c r="J30" s="18">
        <f>AVERAGE(I27:I30)</f>
        <v>3.86325</v>
      </c>
      <c r="K30" s="18"/>
      <c r="L30" s="18">
        <f>-H30+L29</f>
        <v>142.612</v>
      </c>
      <c r="M30" s="18"/>
      <c r="N30" s="23">
        <f>1+N29</f>
        <v>27</v>
      </c>
    </row>
    <row r="31" ht="20.05" customHeight="1">
      <c r="B31" s="31"/>
      <c r="C31" s="17">
        <f>41.8-C30-C29-C28</f>
        <v>12.9</v>
      </c>
      <c r="D31" s="18">
        <f>7.1-D30-D29-D28</f>
        <v>2.7</v>
      </c>
      <c r="E31" s="18">
        <f>18.4-E30-E29-E28</f>
        <v>9</v>
      </c>
      <c r="F31" s="18">
        <f>-20.5-F30-F29-F28</f>
        <v>-6.5</v>
      </c>
      <c r="G31" s="18">
        <f>12.75-G30-G29-G28</f>
        <v>12</v>
      </c>
      <c r="H31" s="18">
        <f>-18.1-H30-H29-H28</f>
        <v>-3.7</v>
      </c>
      <c r="I31" s="18">
        <f>D31+E31</f>
        <v>11.7</v>
      </c>
      <c r="J31" s="18">
        <f>AVERAGE(I28:I31)</f>
        <v>6.375</v>
      </c>
      <c r="K31" s="18">
        <f>J31</f>
        <v>6.375</v>
      </c>
      <c r="L31" s="18">
        <f>-H31+L30</f>
        <v>146.312</v>
      </c>
      <c r="M31" s="18">
        <f>L31</f>
        <v>146.312</v>
      </c>
      <c r="N31" s="23">
        <f>1+N30</f>
        <v>28</v>
      </c>
    </row>
    <row r="32" ht="20.05" customHeight="1">
      <c r="B32" s="34">
        <v>2022</v>
      </c>
      <c r="C32" s="17"/>
      <c r="D32" s="18"/>
      <c r="E32" s="18"/>
      <c r="F32" s="18"/>
      <c r="G32" s="18"/>
      <c r="H32" s="18"/>
      <c r="I32" s="18"/>
      <c r="J32" s="33"/>
      <c r="K32" s="18">
        <f>SUM('Model'!F9:F10)</f>
        <v>4.33506520618802</v>
      </c>
      <c r="L32" s="33"/>
      <c r="M32" s="18">
        <f>'Model'!F34</f>
        <v>155.105985223215</v>
      </c>
      <c r="N32" s="23"/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75781" style="39" customWidth="1"/>
    <col min="2" max="2" width="7.25" style="39" customWidth="1"/>
    <col min="3" max="11" width="10.5938" style="39" customWidth="1"/>
    <col min="12" max="16384" width="16.3516" style="39" customWidth="1"/>
  </cols>
  <sheetData>
    <row r="1" ht="42.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54</v>
      </c>
      <c r="C3" t="s" s="5">
        <v>55</v>
      </c>
      <c r="D3" t="s" s="5">
        <v>56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27</v>
      </c>
      <c r="J3" t="s" s="5">
        <v>28</v>
      </c>
      <c r="K3" t="s" s="5">
        <v>38</v>
      </c>
    </row>
    <row r="4" ht="20.25" customHeight="1">
      <c r="B4" s="26">
        <v>2015</v>
      </c>
      <c r="C4" s="40">
        <v>27</v>
      </c>
      <c r="D4" s="41">
        <v>485</v>
      </c>
      <c r="E4" s="41">
        <f>D4-C4</f>
        <v>458</v>
      </c>
      <c r="F4" s="41"/>
      <c r="G4" s="41">
        <v>222</v>
      </c>
      <c r="H4" s="41">
        <v>263</v>
      </c>
      <c r="I4" s="41">
        <f>G4+H4-C4-E4</f>
        <v>0</v>
      </c>
      <c r="J4" s="41">
        <f>C4-G4</f>
        <v>-195</v>
      </c>
      <c r="K4" s="42"/>
    </row>
    <row r="5" ht="20.05" customHeight="1">
      <c r="B5" s="31"/>
      <c r="C5" s="43">
        <v>22</v>
      </c>
      <c r="D5" s="44">
        <v>471</v>
      </c>
      <c r="E5" s="44">
        <f>D5-C5</f>
        <v>449</v>
      </c>
      <c r="F5" s="44"/>
      <c r="G5" s="44">
        <v>208</v>
      </c>
      <c r="H5" s="44">
        <v>262</v>
      </c>
      <c r="I5" s="44">
        <f>G5+H5-C5-E5</f>
        <v>-1</v>
      </c>
      <c r="J5" s="44">
        <f>C5-G5</f>
        <v>-186</v>
      </c>
      <c r="K5" s="45"/>
    </row>
    <row r="6" ht="20.05" customHeight="1">
      <c r="B6" s="31"/>
      <c r="C6" s="43">
        <v>19</v>
      </c>
      <c r="D6" s="44">
        <v>462</v>
      </c>
      <c r="E6" s="44">
        <f>D6-C6</f>
        <v>443</v>
      </c>
      <c r="F6" s="44"/>
      <c r="G6" s="44">
        <v>204</v>
      </c>
      <c r="H6" s="44">
        <v>259</v>
      </c>
      <c r="I6" s="44">
        <f>G6+H6-C6-E6</f>
        <v>1</v>
      </c>
      <c r="J6" s="44">
        <f>C6-G6</f>
        <v>-185</v>
      </c>
      <c r="K6" s="45"/>
    </row>
    <row r="7" ht="20.05" customHeight="1">
      <c r="B7" s="31"/>
      <c r="C7" s="43">
        <v>16</v>
      </c>
      <c r="D7" s="44">
        <v>446</v>
      </c>
      <c r="E7" s="44">
        <f>D7-C7</f>
        <v>430</v>
      </c>
      <c r="F7" s="44"/>
      <c r="G7" s="44">
        <v>192</v>
      </c>
      <c r="H7" s="44">
        <v>254</v>
      </c>
      <c r="I7" s="44">
        <f>G7+H7-C7-E7</f>
        <v>0</v>
      </c>
      <c r="J7" s="44">
        <f>C7-G7</f>
        <v>-176</v>
      </c>
      <c r="K7" s="45"/>
    </row>
    <row r="8" ht="20.05" customHeight="1">
      <c r="B8" s="34">
        <v>2016</v>
      </c>
      <c r="C8" s="43">
        <v>11</v>
      </c>
      <c r="D8" s="44">
        <v>438</v>
      </c>
      <c r="E8" s="44">
        <f>D8-C8</f>
        <v>427</v>
      </c>
      <c r="F8" s="44"/>
      <c r="G8" s="44">
        <v>187</v>
      </c>
      <c r="H8" s="44">
        <v>252</v>
      </c>
      <c r="I8" s="44">
        <f>G8+H8-C8-E8</f>
        <v>1</v>
      </c>
      <c r="J8" s="44">
        <f>C8-G8</f>
        <v>-176</v>
      </c>
      <c r="K8" s="45"/>
    </row>
    <row r="9" ht="20.05" customHeight="1">
      <c r="B9" s="31"/>
      <c r="C9" s="43">
        <v>13</v>
      </c>
      <c r="D9" s="44">
        <v>435</v>
      </c>
      <c r="E9" s="44">
        <f>D9-C9</f>
        <v>422</v>
      </c>
      <c r="F9" s="44"/>
      <c r="G9" s="44">
        <v>182</v>
      </c>
      <c r="H9" s="44">
        <v>254</v>
      </c>
      <c r="I9" s="44">
        <f>G9+H9-C9-E9</f>
        <v>1</v>
      </c>
      <c r="J9" s="44">
        <f>C9-G9</f>
        <v>-169</v>
      </c>
      <c r="K9" s="45"/>
    </row>
    <row r="10" ht="20.05" customHeight="1">
      <c r="B10" s="31"/>
      <c r="C10" s="43">
        <v>16</v>
      </c>
      <c r="D10" s="44">
        <v>419</v>
      </c>
      <c r="E10" s="44">
        <f>D10-C10</f>
        <v>403</v>
      </c>
      <c r="F10" s="44"/>
      <c r="G10" s="44">
        <v>177</v>
      </c>
      <c r="H10" s="44">
        <v>243</v>
      </c>
      <c r="I10" s="44">
        <f>G10+H10-C10-E10</f>
        <v>1</v>
      </c>
      <c r="J10" s="44">
        <f>C10-G10</f>
        <v>-161</v>
      </c>
      <c r="K10" s="45"/>
    </row>
    <row r="11" ht="20.05" customHeight="1">
      <c r="B11" s="31"/>
      <c r="C11" s="43">
        <v>15</v>
      </c>
      <c r="D11" s="44">
        <v>401</v>
      </c>
      <c r="E11" s="44">
        <f>D11-C11</f>
        <v>386</v>
      </c>
      <c r="F11" s="44"/>
      <c r="G11" s="44">
        <v>170</v>
      </c>
      <c r="H11" s="44">
        <v>232</v>
      </c>
      <c r="I11" s="44">
        <f>G11+H11-C11-E11</f>
        <v>1</v>
      </c>
      <c r="J11" s="44">
        <f>C11-G11</f>
        <v>-155</v>
      </c>
      <c r="K11" s="45"/>
    </row>
    <row r="12" ht="20.05" customHeight="1">
      <c r="B12" s="34">
        <v>2017</v>
      </c>
      <c r="C12" s="43">
        <v>15</v>
      </c>
      <c r="D12" s="44">
        <v>386</v>
      </c>
      <c r="E12" s="44">
        <f>D12-C12</f>
        <v>371</v>
      </c>
      <c r="F12" s="44"/>
      <c r="G12" s="44">
        <v>160</v>
      </c>
      <c r="H12" s="44">
        <v>226</v>
      </c>
      <c r="I12" s="44">
        <f>G12+H12-C12-E12</f>
        <v>0</v>
      </c>
      <c r="J12" s="44">
        <f>C12-G12</f>
        <v>-145</v>
      </c>
      <c r="K12" s="45"/>
    </row>
    <row r="13" ht="20.05" customHeight="1">
      <c r="B13" s="31"/>
      <c r="C13" s="43">
        <v>8</v>
      </c>
      <c r="D13" s="44">
        <v>376</v>
      </c>
      <c r="E13" s="44">
        <f>D13-C13</f>
        <v>368</v>
      </c>
      <c r="F13" s="44"/>
      <c r="G13" s="44">
        <v>156</v>
      </c>
      <c r="H13" s="44">
        <v>220</v>
      </c>
      <c r="I13" s="44">
        <f>G13+H13-C13-E13</f>
        <v>0</v>
      </c>
      <c r="J13" s="44">
        <f>C13-G13</f>
        <v>-148</v>
      </c>
      <c r="K13" s="45"/>
    </row>
    <row r="14" ht="20.05" customHeight="1">
      <c r="B14" s="31"/>
      <c r="C14" s="43">
        <v>8</v>
      </c>
      <c r="D14" s="44">
        <v>369</v>
      </c>
      <c r="E14" s="44">
        <f>D14-C14</f>
        <v>361</v>
      </c>
      <c r="F14" s="44"/>
      <c r="G14" s="44">
        <v>150</v>
      </c>
      <c r="H14" s="44">
        <v>218</v>
      </c>
      <c r="I14" s="44">
        <f>G14+H14-C14-E14</f>
        <v>-1</v>
      </c>
      <c r="J14" s="44">
        <f>C14-G14</f>
        <v>-142</v>
      </c>
      <c r="K14" s="45"/>
    </row>
    <row r="15" ht="20.05" customHeight="1">
      <c r="B15" s="31"/>
      <c r="C15" s="43">
        <v>6</v>
      </c>
      <c r="D15" s="44">
        <v>339</v>
      </c>
      <c r="E15" s="44">
        <f>D15-C15</f>
        <v>333</v>
      </c>
      <c r="F15" s="44"/>
      <c r="G15" s="44">
        <v>137</v>
      </c>
      <c r="H15" s="44">
        <v>201</v>
      </c>
      <c r="I15" s="44">
        <f>G15+H15-C15-E15</f>
        <v>-1</v>
      </c>
      <c r="J15" s="44">
        <f>C15-G15</f>
        <v>-131</v>
      </c>
      <c r="K15" s="45"/>
    </row>
    <row r="16" ht="20.05" customHeight="1">
      <c r="B16" s="34">
        <v>2018</v>
      </c>
      <c r="C16" s="43">
        <v>6</v>
      </c>
      <c r="D16" s="44">
        <v>332</v>
      </c>
      <c r="E16" s="44">
        <f>D16-C16</f>
        <v>326</v>
      </c>
      <c r="F16" s="44"/>
      <c r="G16" s="44">
        <v>127</v>
      </c>
      <c r="H16" s="44">
        <v>206</v>
      </c>
      <c r="I16" s="44">
        <f>G16+H16-C16-E16</f>
        <v>1</v>
      </c>
      <c r="J16" s="44">
        <f>C16-G16</f>
        <v>-121</v>
      </c>
      <c r="K16" s="45"/>
    </row>
    <row r="17" ht="20.05" customHeight="1">
      <c r="B17" s="31"/>
      <c r="C17" s="43">
        <v>6</v>
      </c>
      <c r="D17" s="44">
        <v>310</v>
      </c>
      <c r="E17" s="44">
        <f>D17-C17</f>
        <v>304</v>
      </c>
      <c r="F17" s="44"/>
      <c r="G17" s="44">
        <v>108</v>
      </c>
      <c r="H17" s="44">
        <v>202</v>
      </c>
      <c r="I17" s="44">
        <f>G17+H17-C17-E17</f>
        <v>0</v>
      </c>
      <c r="J17" s="44">
        <f>C17-G17</f>
        <v>-102</v>
      </c>
      <c r="K17" s="45"/>
    </row>
    <row r="18" ht="20.05" customHeight="1">
      <c r="B18" s="31"/>
      <c r="C18" s="43">
        <v>5</v>
      </c>
      <c r="D18" s="44">
        <v>304</v>
      </c>
      <c r="E18" s="44">
        <f>D18-C18</f>
        <v>299</v>
      </c>
      <c r="F18" s="44">
        <v>206</v>
      </c>
      <c r="G18" s="44">
        <v>106</v>
      </c>
      <c r="H18" s="44">
        <v>198</v>
      </c>
      <c r="I18" s="44">
        <f>G18+H18-C18-E18</f>
        <v>0</v>
      </c>
      <c r="J18" s="44">
        <f>C18-G18</f>
        <v>-101</v>
      </c>
      <c r="K18" s="45"/>
    </row>
    <row r="19" ht="20.05" customHeight="1">
      <c r="B19" s="31"/>
      <c r="C19" s="43">
        <v>4</v>
      </c>
      <c r="D19" s="44">
        <v>275</v>
      </c>
      <c r="E19" s="44">
        <f>D19-C19</f>
        <v>271</v>
      </c>
      <c r="F19" s="44">
        <v>221</v>
      </c>
      <c r="G19" s="44">
        <v>103</v>
      </c>
      <c r="H19" s="44">
        <v>172</v>
      </c>
      <c r="I19" s="44">
        <f>G19+H19-C19-E19</f>
        <v>0</v>
      </c>
      <c r="J19" s="44">
        <f>C19-G19</f>
        <v>-99</v>
      </c>
      <c r="K19" s="45"/>
    </row>
    <row r="20" ht="20.05" customHeight="1">
      <c r="B20" s="34">
        <v>2019</v>
      </c>
      <c r="C20" s="43">
        <v>4</v>
      </c>
      <c r="D20" s="44">
        <v>270</v>
      </c>
      <c r="E20" s="44">
        <f>D20-C20</f>
        <v>266</v>
      </c>
      <c r="F20" s="44">
        <v>227</v>
      </c>
      <c r="G20" s="44">
        <v>101</v>
      </c>
      <c r="H20" s="44">
        <v>169</v>
      </c>
      <c r="I20" s="44">
        <f>G20+H20-C20-E20</f>
        <v>0</v>
      </c>
      <c r="J20" s="44">
        <f>C20-G20</f>
        <v>-97</v>
      </c>
      <c r="K20" s="45"/>
    </row>
    <row r="21" ht="20.05" customHeight="1">
      <c r="B21" s="31"/>
      <c r="C21" s="43">
        <v>3</v>
      </c>
      <c r="D21" s="44">
        <v>267</v>
      </c>
      <c r="E21" s="44">
        <f>D21-C21</f>
        <v>264</v>
      </c>
      <c r="F21" s="44">
        <v>231</v>
      </c>
      <c r="G21" s="44">
        <v>101</v>
      </c>
      <c r="H21" s="44">
        <v>166</v>
      </c>
      <c r="I21" s="44">
        <f>G21+H21-C21-E21</f>
        <v>0</v>
      </c>
      <c r="J21" s="44">
        <f>C21-G21</f>
        <v>-98</v>
      </c>
      <c r="K21" s="45"/>
    </row>
    <row r="22" ht="20.05" customHeight="1">
      <c r="B22" s="31"/>
      <c r="C22" s="43">
        <v>3</v>
      </c>
      <c r="D22" s="44">
        <v>259</v>
      </c>
      <c r="E22" s="44">
        <f>D22-C22</f>
        <v>256</v>
      </c>
      <c r="F22" s="44">
        <v>232</v>
      </c>
      <c r="G22" s="44">
        <v>93</v>
      </c>
      <c r="H22" s="44">
        <v>166</v>
      </c>
      <c r="I22" s="44">
        <f>G22+H22-C22-E22</f>
        <v>0</v>
      </c>
      <c r="J22" s="44">
        <f>C22-G22</f>
        <v>-90</v>
      </c>
      <c r="K22" s="21"/>
    </row>
    <row r="23" ht="20.05" customHeight="1">
      <c r="B23" s="31"/>
      <c r="C23" s="43">
        <v>4</v>
      </c>
      <c r="D23" s="44">
        <v>248</v>
      </c>
      <c r="E23" s="44">
        <f>D23-C23</f>
        <v>244</v>
      </c>
      <c r="F23" s="44">
        <v>246</v>
      </c>
      <c r="G23" s="44">
        <v>93</v>
      </c>
      <c r="H23" s="44">
        <v>155</v>
      </c>
      <c r="I23" s="44">
        <f>G23+H23-C23-E23</f>
        <v>0</v>
      </c>
      <c r="J23" s="44">
        <f>C23-G23</f>
        <v>-89</v>
      </c>
      <c r="K23" s="21"/>
    </row>
    <row r="24" ht="20.05" customHeight="1">
      <c r="B24" s="34">
        <v>2020</v>
      </c>
      <c r="C24" s="43">
        <v>2</v>
      </c>
      <c r="D24" s="44">
        <v>244</v>
      </c>
      <c r="E24" s="44">
        <f>D24-C24</f>
        <v>242</v>
      </c>
      <c r="F24" s="44">
        <v>249</v>
      </c>
      <c r="G24" s="44">
        <v>88</v>
      </c>
      <c r="H24" s="44">
        <v>156</v>
      </c>
      <c r="I24" s="44">
        <f>G24+H24-C24-E24</f>
        <v>0</v>
      </c>
      <c r="J24" s="44">
        <f>C24-G24</f>
        <v>-86</v>
      </c>
      <c r="K24" s="21"/>
    </row>
    <row r="25" ht="20.05" customHeight="1">
      <c r="B25" s="31"/>
      <c r="C25" s="43">
        <v>4.468</v>
      </c>
      <c r="D25" s="44">
        <v>238.04</v>
      </c>
      <c r="E25" s="44">
        <f>D25-C25</f>
        <v>233.572</v>
      </c>
      <c r="F25" s="44">
        <v>246.189</v>
      </c>
      <c r="G25" s="44">
        <v>87.229</v>
      </c>
      <c r="H25" s="44">
        <v>150.816</v>
      </c>
      <c r="I25" s="44">
        <f>G25+H25-C25-E25</f>
        <v>0.005</v>
      </c>
      <c r="J25" s="44">
        <f>C25-G25</f>
        <v>-82.761</v>
      </c>
      <c r="K25" s="21"/>
    </row>
    <row r="26" ht="20.05" customHeight="1">
      <c r="B26" s="31"/>
      <c r="C26" s="43">
        <v>4.293</v>
      </c>
      <c r="D26" s="44">
        <v>231.094</v>
      </c>
      <c r="E26" s="44">
        <f>D26-C26</f>
        <v>226.801</v>
      </c>
      <c r="F26" s="44">
        <v>250.4</v>
      </c>
      <c r="G26" s="44">
        <v>84.184</v>
      </c>
      <c r="H26" s="44">
        <v>146.9</v>
      </c>
      <c r="I26" s="44">
        <f>G26+H26-C26-E26</f>
        <v>-0.01</v>
      </c>
      <c r="J26" s="44">
        <f>C26-G26</f>
        <v>-79.89100000000001</v>
      </c>
      <c r="K26" s="44"/>
    </row>
    <row r="27" ht="20.05" customHeight="1">
      <c r="B27" s="31"/>
      <c r="C27" s="17">
        <v>2.242</v>
      </c>
      <c r="D27" s="18">
        <v>220.313</v>
      </c>
      <c r="E27" s="44">
        <f>D27-C27</f>
        <v>218.071</v>
      </c>
      <c r="F27" s="18">
        <f>F26+'Sales'!E27</f>
        <v>254.4</v>
      </c>
      <c r="G27" s="44">
        <v>79.899</v>
      </c>
      <c r="H27" s="44">
        <v>140.414</v>
      </c>
      <c r="I27" s="44">
        <f>G27+H27-C27-E27</f>
        <v>0</v>
      </c>
      <c r="J27" s="44">
        <f>C27-G27</f>
        <v>-77.657</v>
      </c>
      <c r="K27" s="21"/>
    </row>
    <row r="28" ht="20.05" customHeight="1">
      <c r="B28" s="34">
        <v>2021</v>
      </c>
      <c r="C28" s="17">
        <f>C27+'Cashflow'!D28+'Cashflow'!E28+'Cashflow'!H28</f>
        <v>1.992</v>
      </c>
      <c r="D28" s="18">
        <v>216.6</v>
      </c>
      <c r="E28" s="44">
        <f>D28-C28</f>
        <v>214.608</v>
      </c>
      <c r="F28" s="18">
        <f>F27+'Sales'!E28</f>
        <v>257.7</v>
      </c>
      <c r="G28" s="44">
        <v>76</v>
      </c>
      <c r="H28" s="44">
        <v>140.6</v>
      </c>
      <c r="I28" s="44">
        <f>G28+H28-C28-E28</f>
        <v>0</v>
      </c>
      <c r="J28" s="44">
        <f>C28-G28</f>
        <v>-74.008</v>
      </c>
      <c r="K28" s="44"/>
    </row>
    <row r="29" ht="20.05" customHeight="1">
      <c r="B29" s="31"/>
      <c r="C29" s="17">
        <f>C28+'Cashflow'!D29+'Cashflow'!E29+'Cashflow'!H29</f>
        <v>2.442</v>
      </c>
      <c r="D29" s="18">
        <v>212.878744</v>
      </c>
      <c r="E29" s="44">
        <f>D29-C29</f>
        <v>210.436744</v>
      </c>
      <c r="F29" s="18">
        <f t="shared" si="80" ref="F29:F30">224.275352</f>
        <v>224.275352</v>
      </c>
      <c r="G29" s="44">
        <v>71.540413</v>
      </c>
      <c r="H29" s="44">
        <v>141.338331</v>
      </c>
      <c r="I29" s="44">
        <f>G29+H29-C29-E29</f>
        <v>0</v>
      </c>
      <c r="J29" s="44">
        <f>C29-G29</f>
        <v>-69.09841299999999</v>
      </c>
      <c r="K29" s="44"/>
    </row>
    <row r="30" ht="20.05" customHeight="1">
      <c r="B30" s="31"/>
      <c r="C30" s="17">
        <f>C29+'Cashflow'!D30+'Cashflow'!E30+'Cashflow'!H30</f>
        <v>1.642</v>
      </c>
      <c r="D30" s="18">
        <v>201.4</v>
      </c>
      <c r="E30" s="44">
        <f>D30-C30</f>
        <v>199.758</v>
      </c>
      <c r="F30" s="18">
        <f t="shared" si="80"/>
        <v>224.275352</v>
      </c>
      <c r="G30" s="44">
        <v>59.6</v>
      </c>
      <c r="H30" s="44">
        <v>141.8</v>
      </c>
      <c r="I30" s="44">
        <f>G30+H30-C30-E30</f>
        <v>0</v>
      </c>
      <c r="J30" s="44">
        <f>C30-G30</f>
        <v>-57.958</v>
      </c>
      <c r="K30" s="44"/>
    </row>
    <row r="31" ht="20.05" customHeight="1">
      <c r="B31" s="31"/>
      <c r="C31" s="17">
        <f>C30+'Cashflow'!D31+'Cashflow'!E31+'Cashflow'!H31</f>
        <v>9.641999999999999</v>
      </c>
      <c r="D31" s="18">
        <v>196</v>
      </c>
      <c r="E31" s="44">
        <f>D31-C31</f>
        <v>186.358</v>
      </c>
      <c r="F31" s="18">
        <f>F30+'Sales'!E31</f>
        <v>227.575352</v>
      </c>
      <c r="G31" s="44">
        <v>42</v>
      </c>
      <c r="H31" s="44">
        <f>D31-G31</f>
        <v>154</v>
      </c>
      <c r="I31" s="44">
        <f>G31+H31-C31-E31</f>
        <v>0</v>
      </c>
      <c r="J31" s="44">
        <f>C31-G31</f>
        <v>-32.358</v>
      </c>
      <c r="K31" s="44">
        <f>J31</f>
        <v>-32.358</v>
      </c>
    </row>
    <row r="32" ht="20.05" customHeight="1">
      <c r="B32" s="34">
        <v>2022</v>
      </c>
      <c r="C32" s="17"/>
      <c r="D32" s="18"/>
      <c r="E32" s="44"/>
      <c r="F32" s="18"/>
      <c r="G32" s="44"/>
      <c r="H32" s="44"/>
      <c r="I32" s="44"/>
      <c r="J32" s="44"/>
      <c r="K32" s="44">
        <f>'Model'!F31</f>
        <v>-17.4970886458285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/>
  </sheetViews>
  <sheetFormatPr defaultColWidth="8.33333" defaultRowHeight="19.9" customHeight="1" outlineLevelRow="0" outlineLevelCol="0"/>
  <cols>
    <col min="1" max="1" width="9.35156" style="46" customWidth="1"/>
    <col min="2" max="2" width="8.625" style="46" customWidth="1"/>
    <col min="3" max="4" width="10.1875" style="46" customWidth="1"/>
    <col min="5" max="16384" width="8.35156" style="46" customWidth="1"/>
  </cols>
  <sheetData>
    <row r="1" ht="27.65" customHeight="1">
      <c r="A1" t="s" s="2">
        <v>57</v>
      </c>
      <c r="B1" s="2"/>
      <c r="C1" s="2"/>
      <c r="D1" s="2"/>
    </row>
    <row r="2" ht="20.25" customHeight="1">
      <c r="A2" t="s" s="47">
        <v>58</v>
      </c>
      <c r="B2" t="s" s="47">
        <v>59</v>
      </c>
      <c r="C2" t="s" s="5">
        <v>60</v>
      </c>
      <c r="D2" t="s" s="5">
        <v>61</v>
      </c>
    </row>
    <row r="3" ht="20.25" customHeight="1">
      <c r="A3" s="48">
        <v>2018</v>
      </c>
      <c r="B3" s="49">
        <v>344</v>
      </c>
      <c r="C3" s="50"/>
      <c r="D3" s="50"/>
    </row>
    <row r="4" ht="20.05" customHeight="1">
      <c r="A4" s="51"/>
      <c r="B4" s="52">
        <v>308</v>
      </c>
      <c r="C4" s="53"/>
      <c r="D4" s="53"/>
    </row>
    <row r="5" ht="20.05" customHeight="1">
      <c r="A5" s="51"/>
      <c r="B5" s="52">
        <v>278</v>
      </c>
      <c r="C5" s="53"/>
      <c r="D5" s="53"/>
    </row>
    <row r="6" ht="20.05" customHeight="1">
      <c r="A6" s="51"/>
      <c r="B6" s="52">
        <v>220</v>
      </c>
      <c r="C6" s="53"/>
      <c r="D6" s="53"/>
    </row>
    <row r="7" ht="20.05" customHeight="1">
      <c r="A7" s="54">
        <v>2019</v>
      </c>
      <c r="B7" s="52">
        <v>230</v>
      </c>
      <c r="C7" s="53"/>
      <c r="D7" s="53"/>
    </row>
    <row r="8" ht="20.05" customHeight="1">
      <c r="A8" s="51"/>
      <c r="B8" s="52">
        <v>188</v>
      </c>
      <c r="C8" s="53"/>
      <c r="D8" s="53"/>
    </row>
    <row r="9" ht="20.05" customHeight="1">
      <c r="A9" s="51"/>
      <c r="B9" s="52">
        <v>138</v>
      </c>
      <c r="C9" s="53"/>
      <c r="D9" s="53"/>
    </row>
    <row r="10" ht="20.05" customHeight="1">
      <c r="A10" s="51"/>
      <c r="B10" s="52">
        <v>120</v>
      </c>
      <c r="C10" s="53"/>
      <c r="D10" s="53"/>
    </row>
    <row r="11" ht="20.05" customHeight="1">
      <c r="A11" s="54">
        <v>2020</v>
      </c>
      <c r="B11" s="52">
        <v>87</v>
      </c>
      <c r="C11" s="53"/>
      <c r="D11" s="53"/>
    </row>
    <row r="12" ht="20.05" customHeight="1">
      <c r="A12" s="51"/>
      <c r="B12" s="52">
        <v>91</v>
      </c>
      <c r="C12" s="53"/>
      <c r="D12" s="53"/>
    </row>
    <row r="13" ht="20.05" customHeight="1">
      <c r="A13" s="51"/>
      <c r="B13" s="52">
        <v>99</v>
      </c>
      <c r="C13" s="53"/>
      <c r="D13" s="55">
        <v>419.925</v>
      </c>
    </row>
    <row r="14" ht="20.05" customHeight="1">
      <c r="A14" s="51"/>
      <c r="B14" s="52">
        <v>107</v>
      </c>
      <c r="C14" s="53"/>
      <c r="D14" s="55">
        <v>658.309948291232</v>
      </c>
    </row>
    <row r="15" ht="20.05" customHeight="1">
      <c r="A15" s="54">
        <v>2021</v>
      </c>
      <c r="B15" s="56">
        <v>94</v>
      </c>
      <c r="C15" s="53"/>
      <c r="D15" s="55">
        <v>489.282993023003</v>
      </c>
    </row>
    <row r="16" ht="20.05" customHeight="1">
      <c r="A16" s="51"/>
      <c r="B16" s="56">
        <v>118</v>
      </c>
      <c r="C16" s="53"/>
      <c r="D16" s="55">
        <v>701.7889828125</v>
      </c>
    </row>
    <row r="17" ht="20.05" customHeight="1">
      <c r="A17" s="51"/>
      <c r="B17" s="56">
        <v>129</v>
      </c>
      <c r="C17" s="53"/>
      <c r="D17" s="53"/>
    </row>
    <row r="18" ht="20.05" customHeight="1">
      <c r="A18" s="51"/>
      <c r="B18" s="56">
        <v>192</v>
      </c>
      <c r="C18" s="53"/>
      <c r="D18" s="53"/>
    </row>
    <row r="19" ht="20.05" customHeight="1">
      <c r="A19" s="54">
        <v>2022</v>
      </c>
      <c r="B19" s="56">
        <v>166</v>
      </c>
      <c r="C19" s="53"/>
      <c r="D19" s="53"/>
    </row>
    <row r="20" ht="20.05" customHeight="1">
      <c r="A20" s="51"/>
      <c r="B20" s="56">
        <v>163</v>
      </c>
      <c r="C20" s="55">
        <f>B20</f>
        <v>163</v>
      </c>
      <c r="D20" s="55">
        <v>332.501034554015</v>
      </c>
    </row>
    <row r="21" ht="20.05" customHeight="1">
      <c r="A21" s="51"/>
      <c r="B21" s="56"/>
      <c r="C21" s="55">
        <f>'Model'!F46</f>
        <v>306.617987065724</v>
      </c>
      <c r="D21" s="53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