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  <sheet name="Capital " sheetId="6" r:id="rId9"/>
  </sheets>
</workbook>
</file>

<file path=xl/sharedStrings.xml><?xml version="1.0" encoding="utf-8"?>
<sst xmlns="http://schemas.openxmlformats.org/spreadsheetml/2006/main" uniqueCount="97">
  <si>
    <t>Financial model</t>
  </si>
  <si>
    <t>$m</t>
  </si>
  <si>
    <t>4Q 2023</t>
  </si>
  <si>
    <t>Cash flow</t>
  </si>
  <si>
    <t xml:space="preserve">Growth 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</si>
  <si>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</si>
  <si>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</si>
  <si>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</si>
  <si>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</si>
  <si>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</si>
  <si>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</si>
  <si>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</si>
  <si>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</si>
  <si>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>Payout</t>
  </si>
  <si>
    <t>Equity</t>
  </si>
  <si>
    <t xml:space="preserve">Before revolver </t>
  </si>
  <si>
    <t>Beginning</t>
  </si>
  <si>
    <t>Change</t>
  </si>
  <si>
    <t>Ending</t>
  </si>
  <si>
    <t xml:space="preserve">Profit 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</si>
  <si>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</si>
  <si>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</si>
  <si>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</si>
  <si>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</si>
  <si>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</si>
  <si>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</si>
  <si>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</si>
  <si>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</si>
  <si>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</si>
  <si>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</si>
  <si>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</si>
  <si>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</si>
  <si>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</si>
  <si>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</si>
  <si>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</si>
  <si>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</si>
  <si>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</si>
  <si>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</si>
  <si>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</si>
  <si>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</si>
  <si>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</si>
  <si>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</si>
  <si>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</si>
  <si>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</si>
  <si>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v forecast </t>
  </si>
  <si>
    <t>Net profit</t>
  </si>
  <si>
    <t xml:space="preserve">Sales growth </t>
  </si>
  <si>
    <t xml:space="preserve">Cost ratio </t>
  </si>
  <si>
    <t xml:space="preserve">Receipts </t>
  </si>
  <si>
    <t xml:space="preserve">Operating </t>
  </si>
  <si>
    <t xml:space="preserve">Investment </t>
  </si>
  <si>
    <t xml:space="preserve">Free cashflow </t>
  </si>
  <si>
    <t xml:space="preserve">$m </t>
  </si>
  <si>
    <t xml:space="preserve">Cash </t>
  </si>
  <si>
    <t>Assets</t>
  </si>
  <si>
    <t>Share price</t>
  </si>
  <si>
    <t>Date</t>
  </si>
  <si>
    <t>WINS</t>
  </si>
  <si>
    <t>Target</t>
  </si>
  <si>
    <t xml:space="preserve">Previous </t>
  </si>
  <si>
    <t>Capital</t>
  </si>
  <si>
    <t xml:space="preserve">Total </t>
  </si>
  <si>
    <t>Table 1</t>
  </si>
  <si>
    <t>Market value</t>
  </si>
  <si>
    <t>In USD</t>
  </si>
  <si>
    <t xml:space="preserve">capital history </t>
  </si>
  <si>
    <t>paying down at</t>
  </si>
  <si>
    <t>of market value</t>
  </si>
  <si>
    <t>a year</t>
  </si>
  <si>
    <t xml:space="preserve">Start date </t>
  </si>
  <si>
    <t xml:space="preserve">Number of quarters </t>
  </si>
  <si>
    <t>Market value USD m</t>
  </si>
  <si>
    <t xml:space="preserve">million dollars </t>
  </si>
  <si>
    <t>paid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</si>
  <si>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</si>
  <si>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</si>
  <si>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</si>
  <si>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</si>
  <si>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</si>
  <si>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</si>
  <si>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</si>
  <si>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</si>
  <si>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</si>
  <si>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</si>
  <si>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</si>
  <si>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</si>
  <si>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</si>
  <si>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</si>
  <si>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>raised</t>
  </si>
  <si>
    <t xml:space="preserve">equity </t>
  </si>
  <si>
    <t>was</t>
  </si>
  <si>
    <t xml:space="preserve">The peak in cumulative equity </t>
  </si>
  <si>
    <t>is</t>
  </si>
  <si>
    <t>up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</si>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</sst>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#,##0%_);[Red]\(#,##0%\)"/>
    <numFmt numFmtId="60" formatCode="#,##0.0_);[Red]\(#,##0.0\)"/>
    <numFmt numFmtId="61" formatCode="#,##0%"/>
    <numFmt numFmtId="62" formatCode="#,##0.0"/>
    <numFmt numFmtId="63" formatCode="#,##0.0%"/>
    <numFmt numFmtId="64" formatCode="0.0"/>
    <numFmt numFmtId="65" formatCode="[$IDR]0"/>
    <numFmt numFmtId="66" formatCode="mmm d, 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62" fontId="0" borderId="3" applyNumberFormat="1" applyFont="1" applyFill="0" applyBorder="1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3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2" fillId="2" borderId="1" applyNumberFormat="1" applyFont="1" applyFill="1" applyBorder="1" applyAlignment="1" applyProtection="0">
      <alignment horizontal="right" vertical="top" wrapText="1"/>
    </xf>
    <xf numFmtId="0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4" fontId="0" borderId="3" applyNumberFormat="1" applyFont="1" applyFill="0" applyBorder="1" applyAlignment="1" applyProtection="0">
      <alignment vertical="top" wrapText="1"/>
    </xf>
    <xf numFmtId="64" fontId="0" borderId="4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64" fontId="0" borderId="6" applyNumberFormat="1" applyFont="1" applyFill="0" applyBorder="1" applyAlignment="1" applyProtection="0">
      <alignment vertical="top" wrapText="1"/>
    </xf>
    <xf numFmtId="64" fontId="0" borderId="7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horizontal="right" vertical="top"/>
    </xf>
    <xf numFmtId="0" fontId="2" fillId="4" borderId="2" applyNumberFormat="1" applyFont="1" applyFill="1" applyBorder="1" applyAlignment="1" applyProtection="0">
      <alignment vertical="top"/>
    </xf>
    <xf numFmtId="1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1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5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6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02532"/>
          <c:y val="0.0446026"/>
          <c:w val="0.845292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'!$B$4:$B$17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'!$F$4:$F$17</c:f>
              <c:numCache>
                <c:ptCount val="14"/>
                <c:pt idx="0">
                  <c:v>5.071429</c:v>
                </c:pt>
                <c:pt idx="1">
                  <c:v>19.142857</c:v>
                </c:pt>
                <c:pt idx="2">
                  <c:v>43.142857</c:v>
                </c:pt>
                <c:pt idx="3">
                  <c:v>75.142857</c:v>
                </c:pt>
                <c:pt idx="4">
                  <c:v>105.142857</c:v>
                </c:pt>
                <c:pt idx="5">
                  <c:v>123.142857</c:v>
                </c:pt>
                <c:pt idx="6">
                  <c:v>94.142857</c:v>
                </c:pt>
                <c:pt idx="7">
                  <c:v>70.142857</c:v>
                </c:pt>
                <c:pt idx="8">
                  <c:v>51.142857</c:v>
                </c:pt>
                <c:pt idx="9">
                  <c:v>32.442857</c:v>
                </c:pt>
                <c:pt idx="10">
                  <c:v>24.142857</c:v>
                </c:pt>
                <c:pt idx="11">
                  <c:v>16.142857</c:v>
                </c:pt>
                <c:pt idx="12">
                  <c:v>-4.357143</c:v>
                </c:pt>
                <c:pt idx="13">
                  <c:v>-6.457143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'!$B$4:$B$17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'!$G$4:$G$17</c:f>
              <c:numCache>
                <c:ptCount val="14"/>
                <c:pt idx="0">
                  <c:v>-0.500000</c:v>
                </c:pt>
                <c:pt idx="1">
                  <c:v>30.857143</c:v>
                </c:pt>
                <c:pt idx="2">
                  <c:v>31.757143</c:v>
                </c:pt>
                <c:pt idx="3">
                  <c:v>33.957143</c:v>
                </c:pt>
                <c:pt idx="4">
                  <c:v>36.207143</c:v>
                </c:pt>
                <c:pt idx="5">
                  <c:v>41.207143</c:v>
                </c:pt>
                <c:pt idx="6">
                  <c:v>41.507143</c:v>
                </c:pt>
                <c:pt idx="7">
                  <c:v>41.507143</c:v>
                </c:pt>
                <c:pt idx="8">
                  <c:v>41.507143</c:v>
                </c:pt>
                <c:pt idx="9">
                  <c:v>46.707143</c:v>
                </c:pt>
                <c:pt idx="10">
                  <c:v>47.107143</c:v>
                </c:pt>
                <c:pt idx="11">
                  <c:v>47.107143</c:v>
                </c:pt>
                <c:pt idx="12">
                  <c:v>59.857143</c:v>
                </c:pt>
                <c:pt idx="13">
                  <c:v>59.857143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'!$H$3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'!$B$4:$B$17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strCache>
            </c:strRef>
          </c:cat>
          <c:val>
            <c:numRef>
              <c:f>'Capital '!$H$4:$H$17</c:f>
              <c:numCache>
                <c:ptCount val="14"/>
                <c:pt idx="0">
                  <c:v>4.571429</c:v>
                </c:pt>
                <c:pt idx="1">
                  <c:v>50.000000</c:v>
                </c:pt>
                <c:pt idx="2">
                  <c:v>74.900000</c:v>
                </c:pt>
                <c:pt idx="3">
                  <c:v>109.100000</c:v>
                </c:pt>
                <c:pt idx="4">
                  <c:v>141.350000</c:v>
                </c:pt>
                <c:pt idx="5">
                  <c:v>164.350000</c:v>
                </c:pt>
                <c:pt idx="6">
                  <c:v>135.650000</c:v>
                </c:pt>
                <c:pt idx="7">
                  <c:v>111.650000</c:v>
                </c:pt>
                <c:pt idx="8">
                  <c:v>92.650000</c:v>
                </c:pt>
                <c:pt idx="9">
                  <c:v>79.150000</c:v>
                </c:pt>
                <c:pt idx="10">
                  <c:v>71.250000</c:v>
                </c:pt>
                <c:pt idx="11">
                  <c:v>63.250000</c:v>
                </c:pt>
                <c:pt idx="12">
                  <c:v>55.500000</c:v>
                </c:pt>
                <c:pt idx="13">
                  <c:v>53.400000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56.25"/>
        <c:minorUnit val="28.1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643638"/>
          <c:y val="0.0605459"/>
          <c:w val="0.356362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498517</xdr:colOff>
      <xdr:row>2</xdr:row>
      <xdr:rowOff>75070</xdr:rowOff>
    </xdr:from>
    <xdr:to>
      <xdr:col>13</xdr:col>
      <xdr:colOff>1010772</xdr:colOff>
      <xdr:row>49</xdr:row>
      <xdr:rowOff>182391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57817" y="899935"/>
          <a:ext cx="9224456" cy="1208024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266970</xdr:colOff>
      <xdr:row>24</xdr:row>
      <xdr:rowOff>66107</xdr:rowOff>
    </xdr:from>
    <xdr:to>
      <xdr:col>6</xdr:col>
      <xdr:colOff>546503</xdr:colOff>
      <xdr:row>31</xdr:row>
      <xdr:rowOff>401577</xdr:rowOff>
    </xdr:to>
    <xdr:graphicFrame>
      <xdr:nvGraphicFramePr>
        <xdr:cNvPr id="4" name="2D Line Chart"/>
        <xdr:cNvGraphicFramePr/>
      </xdr:nvGraphicFramePr>
      <xdr:xfrm>
        <a:off x="1295670" y="6403407"/>
        <a:ext cx="3530734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11286</xdr:colOff>
      <xdr:row>20</xdr:row>
      <xdr:rowOff>116711</xdr:rowOff>
    </xdr:from>
    <xdr:to>
      <xdr:col>6</xdr:col>
      <xdr:colOff>765542</xdr:colOff>
      <xdr:row>24</xdr:row>
      <xdr:rowOff>233758</xdr:rowOff>
    </xdr:to>
    <xdr:sp>
      <xdr:nvSpPr>
        <xdr:cNvPr id="5" name="WINS HAS PAID THE CAPITAL DOWN AT A RATE -28% OF MKT CAP"/>
        <xdr:cNvSpPr txBox="1"/>
      </xdr:nvSpPr>
      <xdr:spPr>
        <a:xfrm>
          <a:off x="1039986" y="5280531"/>
          <a:ext cx="4005457" cy="129052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WINS HAS PAID THE CAPITAL DOWN AT A RATE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-28%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OF MKT CAP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4141" style="1" customWidth="1"/>
    <col min="2" max="2" width="14.7656" style="1" customWidth="1"/>
    <col min="3" max="6" width="8.64844" style="1" customWidth="1"/>
    <col min="7" max="16384" width="16.3516" style="1" customWidth="1"/>
  </cols>
  <sheetData>
    <row r="1" ht="37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0.0138529340181216</v>
      </c>
      <c r="D4" s="8"/>
      <c r="E4" s="8"/>
      <c r="F4" s="9">
        <f>AVERAGE(C5:F5)</f>
        <v>0.04</v>
      </c>
    </row>
    <row r="5" ht="20.05" customHeight="1">
      <c r="B5" t="s" s="10">
        <v>4</v>
      </c>
      <c r="C5" s="11">
        <v>0.05</v>
      </c>
      <c r="D5" s="12">
        <v>0.05</v>
      </c>
      <c r="E5" s="12">
        <v>0.07000000000000001</v>
      </c>
      <c r="F5" s="12">
        <v>-0.01</v>
      </c>
    </row>
    <row r="6" ht="20.05" customHeight="1">
      <c r="B6" t="s" s="10">
        <v>5</v>
      </c>
      <c r="C6" s="13">
        <f>'Sales'!C32*(1+C5)</f>
        <v>11.025</v>
      </c>
      <c r="D6" s="14">
        <f>C6*(1+D5)</f>
        <v>11.57625</v>
      </c>
      <c r="E6" s="14">
        <f>D6*(1+E5)</f>
        <v>12.3865875</v>
      </c>
      <c r="F6" s="14">
        <f>E6*(1+F5)</f>
        <v>12.262721625</v>
      </c>
    </row>
    <row r="7" ht="20.05" customHeight="1">
      <c r="B7" t="s" s="10">
        <v>6</v>
      </c>
      <c r="C7" s="15">
        <f>AVERAGE('Sales'!I32)</f>
        <v>-0.739393931639969</v>
      </c>
      <c r="D7" s="16">
        <f>C7</f>
        <v>-0.739393931639969</v>
      </c>
      <c r="E7" s="16">
        <f>D7</f>
        <v>-0.739393931639969</v>
      </c>
      <c r="F7" s="16">
        <f>E7</f>
        <v>-0.739393931639969</v>
      </c>
    </row>
    <row r="8" ht="20.05" customHeight="1">
      <c r="B8" t="s" s="10">
        <v>7</v>
      </c>
      <c r="C8" s="17">
        <f>C6*C7</f>
        <v>-8.151818096330659</v>
      </c>
      <c r="D8" s="18">
        <f>D6*D7</f>
        <v>-8.559409001147189</v>
      </c>
      <c r="E8" s="18">
        <f>E6*E7</f>
        <v>-9.15856763122749</v>
      </c>
      <c r="F8" s="18">
        <f>F6*F7</f>
        <v>-9.066981954915221</v>
      </c>
    </row>
    <row r="9" ht="20.05" customHeight="1">
      <c r="B9" t="s" s="10">
        <v>8</v>
      </c>
      <c r="C9" s="17">
        <f>C6+C8</f>
        <v>2.87318190366934</v>
      </c>
      <c r="D9" s="18">
        <f>D6+D8</f>
        <v>3.01684099885281</v>
      </c>
      <c r="E9" s="18">
        <f>E6+E8</f>
        <v>3.22801986877251</v>
      </c>
      <c r="F9" s="18">
        <f>F6+F8</f>
        <v>3.19573967008478</v>
      </c>
    </row>
    <row r="10" ht="20.05" customHeight="1">
      <c r="B10" t="s" s="10">
        <v>9</v>
      </c>
      <c r="C10" s="17">
        <f>'Cashflow'!E29</f>
        <v>-0.43</v>
      </c>
      <c r="D10" s="18">
        <f>C10</f>
        <v>-0.43</v>
      </c>
      <c r="E10" s="18">
        <f>D10</f>
        <v>-0.43</v>
      </c>
      <c r="F10" s="18">
        <f>E10</f>
        <v>-0.43</v>
      </c>
    </row>
    <row r="11" ht="20.05" customHeight="1">
      <c r="B11" t="s" s="10">
        <v>10</v>
      </c>
      <c r="C11" s="17">
        <f>C12+C15+C13</f>
        <v>-2.095</v>
      </c>
      <c r="D11" s="18">
        <f>D12+D15+D13</f>
        <v>-1.99025</v>
      </c>
      <c r="E11" s="18">
        <f>E12+E15+E13</f>
        <v>-1.92914346063175</v>
      </c>
      <c r="F11" s="18">
        <f>F12+F15+F13</f>
        <v>-1.82492252602543</v>
      </c>
    </row>
    <row r="12" ht="20.05" customHeight="1">
      <c r="B12" t="s" s="10">
        <v>11</v>
      </c>
      <c r="C12" s="17">
        <f>-('Balance sheet'!G32)/20</f>
        <v>-2.095</v>
      </c>
      <c r="D12" s="18">
        <f>-C27/20</f>
        <v>-1.99025</v>
      </c>
      <c r="E12" s="18">
        <f>-D27/20</f>
        <v>-1.8907375</v>
      </c>
      <c r="F12" s="18">
        <f>-E27/20</f>
        <v>-1.796200625</v>
      </c>
    </row>
    <row r="13" ht="20.05" customHeight="1">
      <c r="B13" t="s" s="10">
        <v>12</v>
      </c>
      <c r="C13" s="17">
        <f>-MIN(0,C16)</f>
        <v>0</v>
      </c>
      <c r="D13" s="18">
        <f>-MIN(C28,D16)</f>
        <v>0</v>
      </c>
      <c r="E13" s="18">
        <f>-MIN(D28,E16)</f>
        <v>0</v>
      </c>
      <c r="F13" s="18">
        <f>-MIN(E28,F16)</f>
        <v>0</v>
      </c>
    </row>
    <row r="14" ht="20.05" customHeight="1">
      <c r="B14" t="s" s="10">
        <v>13</v>
      </c>
      <c r="C14" s="17">
        <v>0.3</v>
      </c>
      <c r="D14" s="18"/>
      <c r="E14" s="18"/>
      <c r="F14" s="18"/>
    </row>
    <row r="15" ht="20.05" customHeight="1">
      <c r="B15" t="s" s="10">
        <v>14</v>
      </c>
      <c r="C15" s="17">
        <f>IF(C22&gt;0,-C22*$C$14,0)</f>
        <v>0</v>
      </c>
      <c r="D15" s="18">
        <f>IF(D22&gt;0,-D22*$C$14,0)</f>
        <v>0</v>
      </c>
      <c r="E15" s="18">
        <f>IF(E22&gt;0,-E22*$C$14,0)</f>
        <v>-0.038405960631753</v>
      </c>
      <c r="F15" s="18">
        <f>IF(F22&gt;0,-F22*$C$14,0)</f>
        <v>-0.028721901025434</v>
      </c>
    </row>
    <row r="16" ht="20.05" customHeight="1">
      <c r="B16" t="s" s="10">
        <v>15</v>
      </c>
      <c r="C16" s="17">
        <f>C9+C10+C12+C15</f>
        <v>0.34818190366934</v>
      </c>
      <c r="D16" s="18">
        <f>D9+D10+D12+D15</f>
        <v>0.59659099885281</v>
      </c>
      <c r="E16" s="18">
        <f>E9+E10+E12+E15</f>
        <v>0.868876408140757</v>
      </c>
      <c r="F16" s="18">
        <f>F9+F10+F12+F15</f>
        <v>0.940817144059346</v>
      </c>
    </row>
    <row r="17" ht="20.05" customHeight="1">
      <c r="B17" t="s" s="10">
        <v>16</v>
      </c>
      <c r="C17" s="17">
        <f>'Balance sheet'!C32</f>
        <v>1.822</v>
      </c>
      <c r="D17" s="18">
        <f>C19</f>
        <v>2.17018190366934</v>
      </c>
      <c r="E17" s="18">
        <f>D19</f>
        <v>2.76677290252215</v>
      </c>
      <c r="F17" s="18">
        <f>E19</f>
        <v>3.63564931066291</v>
      </c>
    </row>
    <row r="18" ht="20.05" customHeight="1">
      <c r="B18" t="s" s="10">
        <v>17</v>
      </c>
      <c r="C18" s="17">
        <f>C9+C10+C11</f>
        <v>0.34818190366934</v>
      </c>
      <c r="D18" s="18">
        <f>D9+D10+D11</f>
        <v>0.59659099885281</v>
      </c>
      <c r="E18" s="18">
        <f>E9+E10+E11</f>
        <v>0.8688764081407599</v>
      </c>
      <c r="F18" s="18">
        <f>F9+F10+F11</f>
        <v>0.94081714405935</v>
      </c>
    </row>
    <row r="19" ht="20.05" customHeight="1">
      <c r="B19" t="s" s="10">
        <v>18</v>
      </c>
      <c r="C19" s="17">
        <f>C17+C18</f>
        <v>2.17018190366934</v>
      </c>
      <c r="D19" s="18">
        <f>D17+D18</f>
        <v>2.76677290252215</v>
      </c>
      <c r="E19" s="18">
        <f>E17+E18</f>
        <v>3.63564931066291</v>
      </c>
      <c r="F19" s="18">
        <f>F17+F18</f>
        <v>4.57646645472226</v>
      </c>
    </row>
    <row r="20" ht="20.05" customHeight="1">
      <c r="B20" t="s" s="19">
        <v>19</v>
      </c>
      <c r="C20" s="20"/>
      <c r="D20" s="21"/>
      <c r="E20" s="21"/>
      <c r="F20" s="18"/>
    </row>
    <row r="21" ht="20.05" customHeight="1">
      <c r="B21" t="s" s="10">
        <v>20</v>
      </c>
      <c r="C21" s="17">
        <f>-AVERAGE('Sales'!E32)</f>
        <v>-3.1</v>
      </c>
      <c r="D21" s="18">
        <f>C21</f>
        <v>-3.1</v>
      </c>
      <c r="E21" s="18">
        <f>D21</f>
        <v>-3.1</v>
      </c>
      <c r="F21" s="18">
        <f>E21</f>
        <v>-3.1</v>
      </c>
    </row>
    <row r="22" ht="20.05" customHeight="1">
      <c r="B22" t="s" s="10">
        <v>21</v>
      </c>
      <c r="C22" s="17">
        <f>C6+C8+C21</f>
        <v>-0.22681809633066</v>
      </c>
      <c r="D22" s="18">
        <f>D6+D8+D21</f>
        <v>-0.08315900114719001</v>
      </c>
      <c r="E22" s="18">
        <f>E6+E8+E21</f>
        <v>0.12801986877251</v>
      </c>
      <c r="F22" s="18">
        <f>F6+F8+F21</f>
        <v>0.09573967008478</v>
      </c>
    </row>
    <row r="23" ht="20.05" customHeight="1">
      <c r="B23" t="s" s="19">
        <v>22</v>
      </c>
      <c r="C23" s="20"/>
      <c r="D23" s="21"/>
      <c r="E23" s="21"/>
      <c r="F23" s="18"/>
    </row>
    <row r="24" ht="20.05" customHeight="1">
      <c r="B24" t="s" s="10">
        <v>23</v>
      </c>
      <c r="C24" s="22">
        <f>'Balance sheet'!E32+'Balance sheet'!F32-C10</f>
        <v>422.683352</v>
      </c>
      <c r="D24" s="23">
        <f>C24-D10</f>
        <v>423.113352</v>
      </c>
      <c r="E24" s="23">
        <f>D24-E10</f>
        <v>423.543352</v>
      </c>
      <c r="F24" s="23">
        <f>E24-F10</f>
        <v>423.973352</v>
      </c>
    </row>
    <row r="25" ht="20.05" customHeight="1">
      <c r="B25" t="s" s="10">
        <v>24</v>
      </c>
      <c r="C25" s="22">
        <f>'Balance sheet'!F32-C21</f>
        <v>233.775352</v>
      </c>
      <c r="D25" s="23">
        <f>C25-D21</f>
        <v>236.875352</v>
      </c>
      <c r="E25" s="23">
        <f>D25-E21</f>
        <v>239.975352</v>
      </c>
      <c r="F25" s="23">
        <f>E25-F21</f>
        <v>243.075352</v>
      </c>
    </row>
    <row r="26" ht="20.05" customHeight="1">
      <c r="B26" t="s" s="10">
        <v>25</v>
      </c>
      <c r="C26" s="22">
        <f>C24-C25</f>
        <v>188.908</v>
      </c>
      <c r="D26" s="23">
        <f>D24-D25</f>
        <v>186.238</v>
      </c>
      <c r="E26" s="23">
        <f>E24-E25</f>
        <v>183.568</v>
      </c>
      <c r="F26" s="23">
        <f>F24-F25</f>
        <v>180.898</v>
      </c>
    </row>
    <row r="27" ht="20.05" customHeight="1">
      <c r="B27" t="s" s="10">
        <v>11</v>
      </c>
      <c r="C27" s="22">
        <f>'Balance sheet'!G32+C12</f>
        <v>39.805</v>
      </c>
      <c r="D27" s="23">
        <f>C27+D12</f>
        <v>37.81475</v>
      </c>
      <c r="E27" s="23">
        <f>D27+E12</f>
        <v>35.9240125</v>
      </c>
      <c r="F27" s="23">
        <f>E27+F12</f>
        <v>34.127811875</v>
      </c>
    </row>
    <row r="28" ht="20.05" customHeight="1">
      <c r="B28" t="s" s="10">
        <v>12</v>
      </c>
      <c r="C28" s="22">
        <f>C13</f>
        <v>0</v>
      </c>
      <c r="D28" s="23">
        <f>C28+D13</f>
        <v>0</v>
      </c>
      <c r="E28" s="23">
        <f>D28+E13</f>
        <v>0</v>
      </c>
      <c r="F28" s="23">
        <f>E28+F13</f>
        <v>0</v>
      </c>
    </row>
    <row r="29" ht="20.05" customHeight="1">
      <c r="B29" t="s" s="10">
        <v>26</v>
      </c>
      <c r="C29" s="22">
        <f>'Balance sheet'!H32+C22</f>
        <v>151.273181903669</v>
      </c>
      <c r="D29" s="23">
        <f>C29+D22</f>
        <v>151.190022902522</v>
      </c>
      <c r="E29" s="23">
        <f>D29+E22</f>
        <v>151.318042771295</v>
      </c>
      <c r="F29" s="23">
        <f>E29+F22</f>
        <v>151.413782441380</v>
      </c>
    </row>
    <row r="30" ht="20.05" customHeight="1">
      <c r="B30" t="s" s="10">
        <v>27</v>
      </c>
      <c r="C30" s="22">
        <f>C27+C28+C29-C19-C26</f>
        <v>-3.4e-13</v>
      </c>
      <c r="D30" s="23">
        <f>D27+D28+D29-D19-D26</f>
        <v>-1.5e-13</v>
      </c>
      <c r="E30" s="23">
        <f>E27+E28+E29-E19-E26</f>
        <v>0.03840596063209</v>
      </c>
      <c r="F30" s="23">
        <f>F27+F28+F29-F19-F26</f>
        <v>0.06712786165774</v>
      </c>
    </row>
    <row r="31" ht="20.05" customHeight="1">
      <c r="B31" t="s" s="10">
        <v>28</v>
      </c>
      <c r="C31" s="22">
        <f>C19-C27-C28</f>
        <v>-37.6348180963307</v>
      </c>
      <c r="D31" s="23">
        <f>D19-D27-D28</f>
        <v>-35.0479770974779</v>
      </c>
      <c r="E31" s="23">
        <f>E19-E27-E28</f>
        <v>-32.2883631893371</v>
      </c>
      <c r="F31" s="23">
        <f>F19-F27-F28</f>
        <v>-29.5513454202777</v>
      </c>
    </row>
    <row r="32" ht="20.05" customHeight="1">
      <c r="B32" t="s" s="19">
        <v>29</v>
      </c>
      <c r="C32" s="22"/>
      <c r="D32" s="23"/>
      <c r="E32" s="23"/>
      <c r="F32" s="23"/>
    </row>
    <row r="33" ht="20.05" customHeight="1">
      <c r="B33" t="s" s="10">
        <v>30</v>
      </c>
      <c r="C33" s="22"/>
      <c r="D33" s="23"/>
      <c r="E33" s="23"/>
      <c r="F33" s="23">
        <v>14.5</v>
      </c>
    </row>
    <row r="34" ht="20.05" customHeight="1">
      <c r="B34" t="s" s="10">
        <v>31</v>
      </c>
      <c r="C34" s="22">
        <f>'Cashflow'!L32-C11</f>
        <v>149.857</v>
      </c>
      <c r="D34" s="23">
        <f>C34-D11</f>
        <v>151.84725</v>
      </c>
      <c r="E34" s="23">
        <f>D34-E11</f>
        <v>153.776393460632</v>
      </c>
      <c r="F34" s="23">
        <f>E34-F11</f>
        <v>155.601315986657</v>
      </c>
    </row>
    <row r="35" ht="20.05" customHeight="1">
      <c r="B35" t="s" s="10">
        <v>32</v>
      </c>
      <c r="C35" s="22"/>
      <c r="D35" s="23"/>
      <c r="E35" s="23"/>
      <c r="F35" s="23">
        <v>695374381056</v>
      </c>
    </row>
    <row r="36" ht="20.05" customHeight="1">
      <c r="B36" t="s" s="10">
        <v>32</v>
      </c>
      <c r="C36" s="22"/>
      <c r="D36" s="23"/>
      <c r="E36" s="23"/>
      <c r="F36" s="23">
        <f>(F35/1000000000)/F33</f>
        <v>47.956853865931</v>
      </c>
    </row>
    <row r="37" ht="20.05" customHeight="1">
      <c r="B37" t="s" s="10">
        <v>33</v>
      </c>
      <c r="C37" s="22"/>
      <c r="D37" s="23"/>
      <c r="E37" s="23"/>
      <c r="F37" s="24">
        <f>F36/(F19+F26)</f>
        <v>0.258563104575034</v>
      </c>
    </row>
    <row r="38" ht="20.05" customHeight="1">
      <c r="B38" t="s" s="10">
        <v>34</v>
      </c>
      <c r="C38" s="22"/>
      <c r="D38" s="23"/>
      <c r="E38" s="23"/>
      <c r="F38" s="16">
        <f>-(C15+D15+E15+F15)/F36</f>
        <v>0.00139975532683714</v>
      </c>
    </row>
    <row r="39" ht="20.05" customHeight="1">
      <c r="B39" t="s" s="10">
        <v>35</v>
      </c>
      <c r="C39" s="22"/>
      <c r="D39" s="23"/>
      <c r="E39" s="23"/>
      <c r="F39" s="23">
        <f>SUM(C9:F10)</f>
        <v>10.5937824413794</v>
      </c>
    </row>
    <row r="40" ht="20.05" customHeight="1">
      <c r="B40" t="s" s="10">
        <v>36</v>
      </c>
      <c r="C40" s="22"/>
      <c r="D40" s="23"/>
      <c r="E40" s="23"/>
      <c r="F40" s="23">
        <f>'Balance sheet'!E32/F39</f>
        <v>18.084003618169</v>
      </c>
    </row>
    <row r="41" ht="20.05" customHeight="1">
      <c r="B41" t="s" s="10">
        <v>29</v>
      </c>
      <c r="C41" s="22"/>
      <c r="D41" s="23"/>
      <c r="E41" s="23"/>
      <c r="F41" s="23">
        <f>F36/F39</f>
        <v>4.52688679716615</v>
      </c>
    </row>
    <row r="42" ht="20.05" customHeight="1">
      <c r="B42" t="s" s="10">
        <v>37</v>
      </c>
      <c r="C42" s="22"/>
      <c r="D42" s="23"/>
      <c r="E42" s="23"/>
      <c r="F42" s="23">
        <v>6</v>
      </c>
    </row>
    <row r="43" ht="20.05" customHeight="1">
      <c r="B43" t="s" s="10">
        <v>38</v>
      </c>
      <c r="C43" s="22"/>
      <c r="D43" s="23"/>
      <c r="E43" s="23"/>
      <c r="F43" s="23">
        <f>F39*F42</f>
        <v>63.5626946482764</v>
      </c>
    </row>
    <row r="44" ht="20.05" customHeight="1">
      <c r="B44" t="s" s="10">
        <v>39</v>
      </c>
      <c r="C44" s="22"/>
      <c r="D44" s="23"/>
      <c r="E44" s="23"/>
      <c r="F44" s="23">
        <f>(F35/1000000000)/F46</f>
        <v>4.3460898816</v>
      </c>
    </row>
    <row r="45" ht="20.05" customHeight="1">
      <c r="B45" t="s" s="10">
        <v>40</v>
      </c>
      <c r="C45" s="22"/>
      <c r="D45" s="23"/>
      <c r="E45" s="23"/>
      <c r="F45" s="23">
        <f>(F43/F44)*F33</f>
        <v>212.066270488797</v>
      </c>
    </row>
    <row r="46" ht="20.05" customHeight="1">
      <c r="B46" t="s" s="10">
        <v>41</v>
      </c>
      <c r="C46" s="22"/>
      <c r="D46" s="23"/>
      <c r="E46" s="23"/>
      <c r="F46" s="23">
        <v>160</v>
      </c>
    </row>
    <row r="47" ht="20.05" customHeight="1">
      <c r="B47" t="s" s="10">
        <v>42</v>
      </c>
      <c r="C47" s="22"/>
      <c r="D47" s="23"/>
      <c r="E47" s="23"/>
      <c r="F47" s="16">
        <f>F45/F46-1</f>
        <v>0.325414190554981</v>
      </c>
    </row>
    <row r="48" ht="20.05" customHeight="1">
      <c r="B48" t="s" s="10">
        <v>43</v>
      </c>
      <c r="C48" s="22"/>
      <c r="D48" s="23"/>
      <c r="E48" s="23"/>
      <c r="F48" s="16">
        <f>'Sales'!C32/'Sales'!C28-1</f>
        <v>0.0281014393420151</v>
      </c>
    </row>
    <row r="49" ht="20.05" customHeight="1">
      <c r="B49" t="s" s="10">
        <v>44</v>
      </c>
      <c r="C49" s="22"/>
      <c r="D49" s="23"/>
      <c r="E49" s="23"/>
      <c r="F49" s="16">
        <f>'Sales'!F35/'Sales'!E35-1</f>
        <v>-0.0617719759369183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1875" style="25" customWidth="1"/>
    <col min="2" max="2" width="10.3594" style="25" customWidth="1"/>
    <col min="3" max="10" width="9.80469" style="25" customWidth="1"/>
    <col min="11" max="16384" width="16.3516" style="25" customWidth="1"/>
  </cols>
  <sheetData>
    <row r="1" ht="38.1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37</v>
      </c>
      <c r="E3" t="s" s="5">
        <v>24</v>
      </c>
      <c r="F3" t="s" s="5">
        <v>45</v>
      </c>
      <c r="G3" t="s" s="5">
        <v>46</v>
      </c>
      <c r="H3" t="s" s="5">
        <v>47</v>
      </c>
      <c r="I3" t="s" s="5">
        <v>47</v>
      </c>
      <c r="J3" t="s" s="5">
        <v>37</v>
      </c>
    </row>
    <row r="4" ht="20.25" customHeight="1">
      <c r="B4" s="26">
        <v>2015</v>
      </c>
      <c r="C4" s="27">
        <v>29</v>
      </c>
      <c r="D4" s="28"/>
      <c r="E4" s="28">
        <v>7</v>
      </c>
      <c r="F4" s="28">
        <v>-0.4</v>
      </c>
      <c r="G4" s="29"/>
      <c r="H4" s="30">
        <f>(E4+F4-C4)/C4</f>
        <v>-0.772413793103448</v>
      </c>
      <c r="I4" s="30"/>
      <c r="J4" s="30"/>
    </row>
    <row r="5" ht="20.05" customHeight="1">
      <c r="B5" s="31"/>
      <c r="C5" s="17">
        <v>25</v>
      </c>
      <c r="D5" s="18"/>
      <c r="E5" s="18">
        <v>7</v>
      </c>
      <c r="F5" s="18">
        <v>-1.6</v>
      </c>
      <c r="G5" s="32">
        <f>C5/C4-1</f>
        <v>-0.137931034482759</v>
      </c>
      <c r="H5" s="16">
        <f>(E5+F5-C5)/C5</f>
        <v>-0.784</v>
      </c>
      <c r="I5" s="33"/>
      <c r="J5" s="33"/>
    </row>
    <row r="6" ht="20.05" customHeight="1">
      <c r="B6" s="31"/>
      <c r="C6" s="17">
        <v>22</v>
      </c>
      <c r="D6" s="18"/>
      <c r="E6" s="18">
        <v>7</v>
      </c>
      <c r="F6" s="18">
        <v>-3</v>
      </c>
      <c r="G6" s="32">
        <f>C6/C5-1</f>
        <v>-0.12</v>
      </c>
      <c r="H6" s="16">
        <f>(E6+F6-C6)/C6</f>
        <v>-0.818181818181818</v>
      </c>
      <c r="I6" s="33"/>
      <c r="J6" s="33"/>
    </row>
    <row r="7" ht="20.05" customHeight="1">
      <c r="B7" s="31"/>
      <c r="C7" s="17">
        <v>24</v>
      </c>
      <c r="D7" s="18"/>
      <c r="E7" s="18">
        <v>7</v>
      </c>
      <c r="F7" s="18">
        <v>-5</v>
      </c>
      <c r="G7" s="32">
        <f>C7/C6-1</f>
        <v>0.0909090909090909</v>
      </c>
      <c r="H7" s="16">
        <f>(E7+F7-C7)/C7</f>
        <v>-0.916666666666667</v>
      </c>
      <c r="I7" s="33"/>
      <c r="J7" s="33"/>
    </row>
    <row r="8" ht="20.05" customHeight="1">
      <c r="B8" s="34">
        <v>2016</v>
      </c>
      <c r="C8" s="17">
        <v>23</v>
      </c>
      <c r="D8" s="18"/>
      <c r="E8" s="18">
        <v>7</v>
      </c>
      <c r="F8" s="18">
        <v>-1.5</v>
      </c>
      <c r="G8" s="32">
        <f>C8/C7-1</f>
        <v>-0.0416666666666667</v>
      </c>
      <c r="H8" s="16">
        <f>(E8+F8-C8)/C8</f>
        <v>-0.760869565217391</v>
      </c>
      <c r="I8" s="33"/>
      <c r="J8" s="33"/>
    </row>
    <row r="9" ht="20.05" customHeight="1">
      <c r="B9" s="31"/>
      <c r="C9" s="17">
        <v>26</v>
      </c>
      <c r="D9" s="18"/>
      <c r="E9" s="18">
        <v>7</v>
      </c>
      <c r="F9" s="18">
        <v>1</v>
      </c>
      <c r="G9" s="32">
        <f>C9/C8-1</f>
        <v>0.130434782608696</v>
      </c>
      <c r="H9" s="16">
        <f>(E9+F9-C9)/C9</f>
        <v>-0.692307692307692</v>
      </c>
      <c r="I9" s="33"/>
      <c r="J9" s="33"/>
    </row>
    <row r="10" ht="20.05" customHeight="1">
      <c r="B10" s="31"/>
      <c r="C10" s="17">
        <v>21</v>
      </c>
      <c r="D10" s="18"/>
      <c r="E10" s="18">
        <v>7</v>
      </c>
      <c r="F10" s="18">
        <v>-10.5</v>
      </c>
      <c r="G10" s="32">
        <f>C10/C9-1</f>
        <v>-0.192307692307692</v>
      </c>
      <c r="H10" s="16">
        <f>(E10+F10-C10)/C10</f>
        <v>-1.16666666666667</v>
      </c>
      <c r="I10" s="33"/>
      <c r="J10" s="33"/>
    </row>
    <row r="11" ht="20.05" customHeight="1">
      <c r="B11" s="31"/>
      <c r="C11" s="17">
        <v>20</v>
      </c>
      <c r="D11" s="18"/>
      <c r="E11" s="18">
        <v>7</v>
      </c>
      <c r="F11" s="18">
        <v>-11</v>
      </c>
      <c r="G11" s="32">
        <f>C11/C10-1</f>
        <v>-0.0476190476190476</v>
      </c>
      <c r="H11" s="16">
        <f>(E11+F11-C11)/C11</f>
        <v>-1.2</v>
      </c>
      <c r="I11" s="33"/>
      <c r="J11" s="33"/>
    </row>
    <row r="12" ht="20.05" customHeight="1">
      <c r="B12" s="34">
        <v>2017</v>
      </c>
      <c r="C12" s="17">
        <v>13</v>
      </c>
      <c r="D12" s="18"/>
      <c r="E12" s="18">
        <v>7</v>
      </c>
      <c r="F12" s="18">
        <v>-5</v>
      </c>
      <c r="G12" s="32">
        <f>C12/C11-1</f>
        <v>-0.35</v>
      </c>
      <c r="H12" s="16">
        <f>(E12+F12-C12)/C12</f>
        <v>-0.846153846153846</v>
      </c>
      <c r="I12" s="12">
        <f>AVERAGE(H9:H12)</f>
        <v>-0.976282051282052</v>
      </c>
      <c r="J12" s="33"/>
    </row>
    <row r="13" ht="20.05" customHeight="1">
      <c r="B13" s="31"/>
      <c r="C13" s="17">
        <v>15</v>
      </c>
      <c r="D13" s="18"/>
      <c r="E13" s="18">
        <v>7</v>
      </c>
      <c r="F13" s="18">
        <v>-6</v>
      </c>
      <c r="G13" s="32">
        <f>C13/C12-1</f>
        <v>0.153846153846154</v>
      </c>
      <c r="H13" s="16">
        <f>(E13+F13-C13)/C13</f>
        <v>-0.933333333333333</v>
      </c>
      <c r="I13" s="12">
        <f>AVERAGE(H10:H13)</f>
        <v>-1.03653846153846</v>
      </c>
      <c r="J13" s="33"/>
    </row>
    <row r="14" ht="20.05" customHeight="1">
      <c r="B14" s="31"/>
      <c r="C14" s="17">
        <v>16</v>
      </c>
      <c r="D14" s="18"/>
      <c r="E14" s="18">
        <v>6</v>
      </c>
      <c r="F14" s="18">
        <v>-2</v>
      </c>
      <c r="G14" s="32">
        <f>C14/C13-1</f>
        <v>0.06666666666666669</v>
      </c>
      <c r="H14" s="16">
        <f>(E14+F14-C14)/C14</f>
        <v>-0.75</v>
      </c>
      <c r="I14" s="12">
        <f>AVERAGE(H11:H14)</f>
        <v>-0.932371794871795</v>
      </c>
      <c r="J14" s="33"/>
    </row>
    <row r="15" ht="20.05" customHeight="1">
      <c r="B15" s="31"/>
      <c r="C15" s="17">
        <v>18</v>
      </c>
      <c r="D15" s="18"/>
      <c r="E15" s="18">
        <v>7</v>
      </c>
      <c r="F15" s="18">
        <v>-27</v>
      </c>
      <c r="G15" s="32">
        <f>C15/C14-1</f>
        <v>0.125</v>
      </c>
      <c r="H15" s="16">
        <f>(E15+F15-C15)/C15</f>
        <v>-2.11111111111111</v>
      </c>
      <c r="I15" s="12">
        <f>AVERAGE(H12:H15)</f>
        <v>-1.16014957264957</v>
      </c>
      <c r="J15" s="33"/>
    </row>
    <row r="16" ht="20.05" customHeight="1">
      <c r="B16" s="34">
        <v>2018</v>
      </c>
      <c r="C16" s="17">
        <v>17</v>
      </c>
      <c r="D16" s="18"/>
      <c r="E16" s="18">
        <v>7</v>
      </c>
      <c r="F16" s="18">
        <v>-1</v>
      </c>
      <c r="G16" s="32">
        <f>C16/C15-1</f>
        <v>-0.0555555555555556</v>
      </c>
      <c r="H16" s="16">
        <f>(E16+F16-C16)/C16</f>
        <v>-0.647058823529412</v>
      </c>
      <c r="I16" s="12">
        <f>AVERAGE(H13:H16)</f>
        <v>-1.11037581699346</v>
      </c>
      <c r="J16" s="33"/>
    </row>
    <row r="17" ht="20.05" customHeight="1">
      <c r="B17" s="31"/>
      <c r="C17" s="17">
        <v>16</v>
      </c>
      <c r="D17" s="18"/>
      <c r="E17" s="18">
        <v>6</v>
      </c>
      <c r="F17" s="18">
        <v>-4</v>
      </c>
      <c r="G17" s="32">
        <f>C17/C16-1</f>
        <v>-0.0588235294117647</v>
      </c>
      <c r="H17" s="16">
        <f>(E17+F17-C17)/C17</f>
        <v>-0.875</v>
      </c>
      <c r="I17" s="12">
        <f>AVERAGE(H14:H17)</f>
        <v>-1.09579248366013</v>
      </c>
      <c r="J17" s="33"/>
    </row>
    <row r="18" ht="20.05" customHeight="1">
      <c r="B18" s="31"/>
      <c r="C18" s="17">
        <v>17</v>
      </c>
      <c r="D18" s="18"/>
      <c r="E18" s="18">
        <v>7</v>
      </c>
      <c r="F18" s="18">
        <v>-4</v>
      </c>
      <c r="G18" s="32">
        <f>C18/C17-1</f>
        <v>0.0625</v>
      </c>
      <c r="H18" s="16">
        <f>(E18+F18-C18)/C18</f>
        <v>-0.823529411764706</v>
      </c>
      <c r="I18" s="12">
        <f>AVERAGE(H15:H18)</f>
        <v>-1.11417483660131</v>
      </c>
      <c r="J18" s="33"/>
    </row>
    <row r="19" ht="20.05" customHeight="1">
      <c r="B19" s="31"/>
      <c r="C19" s="17">
        <v>13</v>
      </c>
      <c r="D19" s="18"/>
      <c r="E19" s="18">
        <v>24</v>
      </c>
      <c r="F19" s="18">
        <v>-27</v>
      </c>
      <c r="G19" s="32">
        <f>C19/C18-1</f>
        <v>-0.235294117647059</v>
      </c>
      <c r="H19" s="16">
        <f>(E19+F19-C19)/C19</f>
        <v>-1.23076923076923</v>
      </c>
      <c r="I19" s="12">
        <f>AVERAGE(H16:H19)</f>
        <v>-0.894089366515837</v>
      </c>
      <c r="J19" s="33"/>
    </row>
    <row r="20" ht="20.05" customHeight="1">
      <c r="B20" s="34">
        <v>2019</v>
      </c>
      <c r="C20" s="17">
        <v>12</v>
      </c>
      <c r="D20" s="18"/>
      <c r="E20" s="18">
        <v>6.5</v>
      </c>
      <c r="F20" s="18">
        <v>-2.8</v>
      </c>
      <c r="G20" s="32">
        <f>C20/C19-1</f>
        <v>-0.0769230769230769</v>
      </c>
      <c r="H20" s="16">
        <f>(E20+F20-C20)/C20</f>
        <v>-0.691666666666667</v>
      </c>
      <c r="I20" s="12">
        <f>AVERAGE(H17:H20)</f>
        <v>-0.9052413273001511</v>
      </c>
      <c r="J20" s="33"/>
    </row>
    <row r="21" ht="20.05" customHeight="1">
      <c r="B21" s="31"/>
      <c r="C21" s="17">
        <v>14</v>
      </c>
      <c r="D21" s="18"/>
      <c r="E21" s="18">
        <v>6.2</v>
      </c>
      <c r="F21" s="18">
        <v>-3.2</v>
      </c>
      <c r="G21" s="32">
        <f>C21/C20-1</f>
        <v>0.166666666666667</v>
      </c>
      <c r="H21" s="16">
        <f>(E21+F21-C21)/C21</f>
        <v>-0.785714285714286</v>
      </c>
      <c r="I21" s="12">
        <f>AVERAGE(H18:H21)</f>
        <v>-0.882919898728722</v>
      </c>
      <c r="J21" s="33"/>
    </row>
    <row r="22" ht="20.05" customHeight="1">
      <c r="B22" s="31"/>
      <c r="C22" s="17">
        <v>15</v>
      </c>
      <c r="D22" s="18"/>
      <c r="E22" s="18">
        <v>5.3</v>
      </c>
      <c r="F22" s="18">
        <v>-1</v>
      </c>
      <c r="G22" s="32">
        <f>C22/C21-1</f>
        <v>0.0714285714285714</v>
      </c>
      <c r="H22" s="16">
        <f>(E22+F22-C22)/C22</f>
        <v>-0.713333333333333</v>
      </c>
      <c r="I22" s="12">
        <f>AVERAGE(H19:H22)</f>
        <v>-0.8553708791208789</v>
      </c>
      <c r="J22" s="33"/>
    </row>
    <row r="23" ht="20.05" customHeight="1">
      <c r="B23" s="31"/>
      <c r="C23" s="17">
        <v>15</v>
      </c>
      <c r="D23" s="18">
        <v>17.28</v>
      </c>
      <c r="E23" s="18">
        <v>10</v>
      </c>
      <c r="F23" s="18">
        <v>-10</v>
      </c>
      <c r="G23" s="32">
        <f>C23/C22-1</f>
        <v>0</v>
      </c>
      <c r="H23" s="16">
        <f>(E23+F23-C23)/C23</f>
        <v>-1</v>
      </c>
      <c r="I23" s="12">
        <f>AVERAGE(H20:H23)</f>
        <v>-0.797678571428572</v>
      </c>
      <c r="J23" s="33"/>
    </row>
    <row r="24" ht="20.05" customHeight="1">
      <c r="B24" s="34">
        <v>2020</v>
      </c>
      <c r="C24" s="17">
        <v>13</v>
      </c>
      <c r="D24" s="18">
        <v>12</v>
      </c>
      <c r="E24" s="18">
        <v>4</v>
      </c>
      <c r="F24" s="18">
        <v>0.016</v>
      </c>
      <c r="G24" s="32">
        <f>C24/C23-1</f>
        <v>-0.133333333333333</v>
      </c>
      <c r="H24" s="16">
        <f>(E24+F24-C24)/C24</f>
        <v>-0.691076923076923</v>
      </c>
      <c r="I24" s="12">
        <f>AVERAGE(H21:H24)</f>
        <v>-0.797531135531136</v>
      </c>
      <c r="J24" s="16"/>
    </row>
    <row r="25" ht="20.05" customHeight="1">
      <c r="B25" s="31"/>
      <c r="C25" s="17">
        <v>8.925000000000001</v>
      </c>
      <c r="D25" s="18">
        <v>8.925000000000001</v>
      </c>
      <c r="E25" s="18">
        <v>4</v>
      </c>
      <c r="F25" s="18">
        <v>-4.595</v>
      </c>
      <c r="G25" s="32">
        <f>C25/C24-1</f>
        <v>-0.313461538461538</v>
      </c>
      <c r="H25" s="16">
        <f>(E25+F25-C25)/C25</f>
        <v>-1.06666666666667</v>
      </c>
      <c r="I25" s="12">
        <f>AVERAGE(H22:H25)</f>
        <v>-0.867769230769232</v>
      </c>
      <c r="J25" s="16"/>
    </row>
    <row r="26" ht="20.05" customHeight="1">
      <c r="B26" s="31"/>
      <c r="C26" s="17">
        <v>9.475</v>
      </c>
      <c r="D26" s="18">
        <v>12.75</v>
      </c>
      <c r="E26" s="18">
        <v>4</v>
      </c>
      <c r="F26" s="18">
        <v>-3.921</v>
      </c>
      <c r="G26" s="32">
        <f>C26/C25-1</f>
        <v>0.061624649859944</v>
      </c>
      <c r="H26" s="16">
        <f>(E26+F26-C26)/C26</f>
        <v>-0.991662269129288</v>
      </c>
      <c r="I26" s="12">
        <f>AVERAGE(H23:H26)</f>
        <v>-0.93735146471822</v>
      </c>
      <c r="J26" s="16"/>
    </row>
    <row r="27" ht="20.05" customHeight="1">
      <c r="B27" s="31"/>
      <c r="C27" s="17">
        <f>42.371-SUM(C24:C26)</f>
        <v>10.971</v>
      </c>
      <c r="D27" s="18">
        <v>10.51725</v>
      </c>
      <c r="E27" s="18">
        <v>4</v>
      </c>
      <c r="F27" s="18">
        <f>-14.933-SUM(F24:F26)</f>
        <v>-6.433</v>
      </c>
      <c r="G27" s="32">
        <f>C27/C26-1</f>
        <v>0.157889182058047</v>
      </c>
      <c r="H27" s="16">
        <f>(E27+F27-C27)/C27</f>
        <v>-1.22176647525294</v>
      </c>
      <c r="I27" s="12">
        <f>AVERAGE(H24:H27)</f>
        <v>-0.992793083531455</v>
      </c>
      <c r="J27" s="16"/>
    </row>
    <row r="28" ht="20.05" customHeight="1">
      <c r="B28" s="34">
        <v>2021</v>
      </c>
      <c r="C28" s="17">
        <v>10.213</v>
      </c>
      <c r="D28" s="18">
        <v>10.64187</v>
      </c>
      <c r="E28" s="18">
        <v>3.3</v>
      </c>
      <c r="F28" s="18">
        <v>0.05</v>
      </c>
      <c r="G28" s="32">
        <f>C28/C27-1</f>
        <v>-0.0690912405432504</v>
      </c>
      <c r="H28" s="16">
        <f>(E28+F28-C28)/C28</f>
        <v>-0.6719866836385</v>
      </c>
      <c r="I28" s="12">
        <f>AVERAGE(H25:H28)</f>
        <v>-0.98802052367185</v>
      </c>
      <c r="J28" s="16"/>
    </row>
    <row r="29" ht="20.05" customHeight="1">
      <c r="B29" s="31"/>
      <c r="C29" s="17">
        <f>20.1-C28</f>
        <v>9.887</v>
      </c>
      <c r="D29" s="18">
        <v>11.74495</v>
      </c>
      <c r="E29" s="18">
        <v>3.3</v>
      </c>
      <c r="F29" s="18">
        <f>0.04-F28</f>
        <v>-0.01</v>
      </c>
      <c r="G29" s="32">
        <f>C29/C28-1</f>
        <v>-0.0319201018309997</v>
      </c>
      <c r="H29" s="16">
        <f>(E29+F29-C29)/C29</f>
        <v>-0.66723980985132</v>
      </c>
      <c r="I29" s="12">
        <f>AVERAGE(H26:H29)</f>
        <v>-0.888163809468012</v>
      </c>
      <c r="J29" s="16"/>
    </row>
    <row r="30" ht="20.05" customHeight="1">
      <c r="B30" s="31"/>
      <c r="C30" s="17">
        <f>30.2-C29-C28</f>
        <v>10.1</v>
      </c>
      <c r="D30" s="18">
        <v>9.98587</v>
      </c>
      <c r="E30" s="18">
        <v>3.3</v>
      </c>
      <c r="F30" s="18">
        <f>0.5-F29-F28</f>
        <v>0.46</v>
      </c>
      <c r="G30" s="32">
        <f>C30/C29-1</f>
        <v>0.0215434408819662</v>
      </c>
      <c r="H30" s="16">
        <f>(E30+F30-C30)/C30</f>
        <v>-0.6277227722772279</v>
      </c>
      <c r="I30" s="12">
        <f>AVERAGE(H27:H30)</f>
        <v>-0.7971789352549969</v>
      </c>
      <c r="J30" s="16"/>
    </row>
    <row r="31" ht="20.05" customHeight="1">
      <c r="B31" s="31"/>
      <c r="C31" s="17">
        <f>42.3-C30-C29-C28</f>
        <v>12.1</v>
      </c>
      <c r="D31" s="21">
        <v>11.615</v>
      </c>
      <c r="E31" s="18">
        <v>3.3</v>
      </c>
      <c r="F31" s="18">
        <f>0.13-F30-F29-F28</f>
        <v>-0.37</v>
      </c>
      <c r="G31" s="32">
        <f>C31/C30-1</f>
        <v>0.198019801980198</v>
      </c>
      <c r="H31" s="16">
        <f>(E31+F31-C31)/C31</f>
        <v>-0.757851239669421</v>
      </c>
      <c r="I31" s="12">
        <f>AVERAGE(H28:H31)</f>
        <v>-0.681200126359117</v>
      </c>
      <c r="J31" s="33"/>
    </row>
    <row r="32" ht="20.05" customHeight="1">
      <c r="B32" s="34">
        <v>2022</v>
      </c>
      <c r="C32" s="17">
        <v>10.5</v>
      </c>
      <c r="D32" s="21">
        <v>11.979</v>
      </c>
      <c r="E32" s="18">
        <v>3.1</v>
      </c>
      <c r="F32" s="18">
        <v>-2.1</v>
      </c>
      <c r="G32" s="32">
        <f>C32/C31-1</f>
        <v>-0.132231404958678</v>
      </c>
      <c r="H32" s="16">
        <f>(E32+F32-C32)/C32</f>
        <v>-0.904761904761905</v>
      </c>
      <c r="I32" s="12">
        <f>AVERAGE(H29:H32)</f>
        <v>-0.739393931639969</v>
      </c>
      <c r="J32" s="16">
        <f>I31</f>
        <v>-0.681200126359117</v>
      </c>
    </row>
    <row r="33" ht="20.05" customHeight="1">
      <c r="B33" s="31"/>
      <c r="C33" s="17"/>
      <c r="D33" s="21">
        <f>'Model'!C6</f>
        <v>11.025</v>
      </c>
      <c r="E33" s="18"/>
      <c r="F33" s="18"/>
      <c r="G33" s="12"/>
      <c r="H33" s="12"/>
      <c r="I33" s="33"/>
      <c r="J33" s="12">
        <f>'Model'!C7</f>
        <v>-0.739393931639969</v>
      </c>
    </row>
    <row r="34" ht="20.05" customHeight="1">
      <c r="B34" s="31"/>
      <c r="C34" s="17"/>
      <c r="D34" s="18">
        <f>'Model'!D6</f>
        <v>11.57625</v>
      </c>
      <c r="E34" s="18"/>
      <c r="F34" s="18"/>
      <c r="G34" s="12"/>
      <c r="H34" s="12"/>
      <c r="I34" s="33"/>
      <c r="J34" s="33"/>
    </row>
    <row r="35" ht="20.05" customHeight="1">
      <c r="B35" s="31"/>
      <c r="C35" s="17"/>
      <c r="D35" s="18">
        <f>'Model'!E6</f>
        <v>12.3865875</v>
      </c>
      <c r="E35" s="18">
        <f>SUM(C22:C32)</f>
        <v>125.171</v>
      </c>
      <c r="F35" s="18">
        <f>SUM(D22:D32)</f>
        <v>117.43894</v>
      </c>
      <c r="G35" s="12"/>
      <c r="H35" s="12"/>
      <c r="I35" s="33"/>
      <c r="J35" s="33"/>
    </row>
    <row r="36" ht="20.05" customHeight="1">
      <c r="B36" s="34">
        <v>2023</v>
      </c>
      <c r="C36" s="17"/>
      <c r="D36" s="18">
        <f>'Model'!F6</f>
        <v>12.262721625</v>
      </c>
      <c r="E36" s="18"/>
      <c r="F36" s="18"/>
      <c r="G36" s="12"/>
      <c r="H36" s="12"/>
      <c r="I36" s="33"/>
      <c r="J36" s="33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9844" style="35" customWidth="1"/>
    <col min="2" max="2" width="11.6562" style="35" customWidth="1"/>
    <col min="3" max="14" width="11.0625" style="35" customWidth="1"/>
    <col min="15" max="16384" width="16.3516" style="35" customWidth="1"/>
  </cols>
  <sheetData>
    <row r="1" ht="14.8" customHeight="1"/>
    <row r="2" ht="27.65" customHeight="1">
      <c r="B2" t="s" s="2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48</v>
      </c>
      <c r="D3" t="s" s="5">
        <v>49</v>
      </c>
      <c r="E3" t="s" s="5">
        <v>50</v>
      </c>
      <c r="F3" t="s" s="5">
        <v>11</v>
      </c>
      <c r="G3" t="s" s="5">
        <v>26</v>
      </c>
      <c r="H3" t="s" s="5">
        <v>10</v>
      </c>
      <c r="I3" t="s" s="5">
        <v>51</v>
      </c>
      <c r="J3" t="s" s="5">
        <v>35</v>
      </c>
      <c r="K3" t="s" s="5">
        <v>37</v>
      </c>
      <c r="L3" t="s" s="5">
        <v>31</v>
      </c>
      <c r="M3" t="s" s="5">
        <v>37</v>
      </c>
      <c r="N3" s="36"/>
    </row>
    <row r="4" ht="20.25" customHeight="1">
      <c r="B4" s="26">
        <v>2015</v>
      </c>
      <c r="C4" s="37"/>
      <c r="D4" s="28">
        <v>9</v>
      </c>
      <c r="E4" s="28">
        <v>-0.4</v>
      </c>
      <c r="F4" s="28"/>
      <c r="G4" s="28"/>
      <c r="H4" s="28">
        <v>-11</v>
      </c>
      <c r="I4" s="28">
        <f>D4+E4</f>
        <v>8.6</v>
      </c>
      <c r="J4" s="28"/>
      <c r="K4" s="28"/>
      <c r="L4" s="28">
        <f>-H4</f>
        <v>11</v>
      </c>
      <c r="M4" s="28"/>
      <c r="N4" s="38">
        <v>1</v>
      </c>
    </row>
    <row r="5" ht="20.05" customHeight="1">
      <c r="B5" s="31"/>
      <c r="C5" s="20"/>
      <c r="D5" s="18">
        <v>6</v>
      </c>
      <c r="E5" s="18">
        <v>-1.6</v>
      </c>
      <c r="F5" s="18"/>
      <c r="G5" s="18"/>
      <c r="H5" s="18">
        <v>-9</v>
      </c>
      <c r="I5" s="18">
        <f>D5+E5</f>
        <v>4.4</v>
      </c>
      <c r="J5" s="18"/>
      <c r="K5" s="18"/>
      <c r="L5" s="18">
        <f>-H5+L4</f>
        <v>20</v>
      </c>
      <c r="M5" s="18"/>
      <c r="N5" s="23">
        <f>1+N4</f>
        <v>2</v>
      </c>
    </row>
    <row r="6" ht="20.05" customHeight="1">
      <c r="B6" s="31"/>
      <c r="C6" s="20"/>
      <c r="D6" s="18">
        <v>3</v>
      </c>
      <c r="E6" s="18">
        <v>-10</v>
      </c>
      <c r="F6" s="18"/>
      <c r="G6" s="18"/>
      <c r="H6" s="18">
        <v>3</v>
      </c>
      <c r="I6" s="18">
        <f>D6+E6</f>
        <v>-7</v>
      </c>
      <c r="J6" s="18"/>
      <c r="K6" s="18"/>
      <c r="L6" s="18">
        <f>-H6+L5</f>
        <v>17</v>
      </c>
      <c r="M6" s="18"/>
      <c r="N6" s="23">
        <f>1+N5</f>
        <v>3</v>
      </c>
    </row>
    <row r="7" ht="20.05" customHeight="1">
      <c r="B7" s="31"/>
      <c r="C7" s="20"/>
      <c r="D7" s="18">
        <v>19</v>
      </c>
      <c r="E7" s="18">
        <v>0</v>
      </c>
      <c r="F7" s="18"/>
      <c r="G7" s="18"/>
      <c r="H7" s="18">
        <v>-21</v>
      </c>
      <c r="I7" s="18">
        <f>D7+E7</f>
        <v>19</v>
      </c>
      <c r="J7" s="18"/>
      <c r="K7" s="18"/>
      <c r="L7" s="18">
        <f>-H7+L6</f>
        <v>38</v>
      </c>
      <c r="M7" s="18"/>
      <c r="N7" s="23">
        <f>1+N6</f>
        <v>4</v>
      </c>
    </row>
    <row r="8" ht="20.05" customHeight="1">
      <c r="B8" s="34">
        <v>2016</v>
      </c>
      <c r="C8" s="20"/>
      <c r="D8" s="18">
        <v>0</v>
      </c>
      <c r="E8" s="18">
        <v>1.6</v>
      </c>
      <c r="F8" s="18"/>
      <c r="G8" s="18"/>
      <c r="H8" s="18">
        <v>-7</v>
      </c>
      <c r="I8" s="18">
        <f>D8+E8</f>
        <v>1.6</v>
      </c>
      <c r="J8" s="18">
        <f>AVERAGE(I5:I8)</f>
        <v>4.5</v>
      </c>
      <c r="K8" s="18"/>
      <c r="L8" s="18">
        <f>-H8+L7</f>
        <v>45</v>
      </c>
      <c r="M8" s="18"/>
      <c r="N8" s="23">
        <f>1+N7</f>
        <v>5</v>
      </c>
    </row>
    <row r="9" ht="20.05" customHeight="1">
      <c r="B9" s="31"/>
      <c r="C9" s="20"/>
      <c r="D9" s="18">
        <v>8</v>
      </c>
      <c r="E9" s="18">
        <v>-1.4</v>
      </c>
      <c r="F9" s="18"/>
      <c r="G9" s="18"/>
      <c r="H9" s="18">
        <v>-4</v>
      </c>
      <c r="I9" s="18">
        <f>D9+E9</f>
        <v>6.6</v>
      </c>
      <c r="J9" s="18">
        <f>AVERAGE(I6:I9)</f>
        <v>5.05</v>
      </c>
      <c r="K9" s="18"/>
      <c r="L9" s="18">
        <f>-H9+L8</f>
        <v>49</v>
      </c>
      <c r="M9" s="18"/>
      <c r="N9" s="23">
        <f>1+N8</f>
        <v>6</v>
      </c>
    </row>
    <row r="10" ht="20.05" customHeight="1">
      <c r="B10" s="31"/>
      <c r="C10" s="20"/>
      <c r="D10" s="18">
        <v>11</v>
      </c>
      <c r="E10" s="18">
        <v>-0.2</v>
      </c>
      <c r="F10" s="18"/>
      <c r="G10" s="18"/>
      <c r="H10" s="18">
        <v>-8</v>
      </c>
      <c r="I10" s="18">
        <f>D10+E10</f>
        <v>10.8</v>
      </c>
      <c r="J10" s="18">
        <f>AVERAGE(I7:I10)</f>
        <v>9.5</v>
      </c>
      <c r="K10" s="18"/>
      <c r="L10" s="18">
        <f>-H10+L9</f>
        <v>57</v>
      </c>
      <c r="M10" s="18"/>
      <c r="N10" s="23">
        <f>1+N9</f>
        <v>7</v>
      </c>
    </row>
    <row r="11" ht="20.05" customHeight="1">
      <c r="B11" s="31"/>
      <c r="C11" s="20"/>
      <c r="D11" s="18">
        <v>14</v>
      </c>
      <c r="E11" s="18">
        <v>-1</v>
      </c>
      <c r="F11" s="18"/>
      <c r="G11" s="18"/>
      <c r="H11" s="18">
        <v>-14</v>
      </c>
      <c r="I11" s="18">
        <f>D11+E11</f>
        <v>13</v>
      </c>
      <c r="J11" s="18">
        <f>AVERAGE(I8:I11)</f>
        <v>8</v>
      </c>
      <c r="K11" s="18"/>
      <c r="L11" s="18">
        <f>-H11+L10</f>
        <v>71</v>
      </c>
      <c r="M11" s="18"/>
      <c r="N11" s="23">
        <f>1+N10</f>
        <v>8</v>
      </c>
    </row>
    <row r="12" ht="20.05" customHeight="1">
      <c r="B12" s="34">
        <v>2017</v>
      </c>
      <c r="C12" s="20"/>
      <c r="D12" s="18">
        <v>5</v>
      </c>
      <c r="E12" s="18">
        <v>-1</v>
      </c>
      <c r="F12" s="18"/>
      <c r="G12" s="18"/>
      <c r="H12" s="18">
        <v>-5</v>
      </c>
      <c r="I12" s="18">
        <f>D12+E12</f>
        <v>4</v>
      </c>
      <c r="J12" s="18">
        <f>AVERAGE(I9:I12)</f>
        <v>8.6</v>
      </c>
      <c r="K12" s="18"/>
      <c r="L12" s="18">
        <f>-H12+L11</f>
        <v>76</v>
      </c>
      <c r="M12" s="18"/>
      <c r="N12" s="23">
        <f>1+N11</f>
        <v>9</v>
      </c>
    </row>
    <row r="13" ht="20.05" customHeight="1">
      <c r="B13" s="31"/>
      <c r="C13" s="20"/>
      <c r="D13" s="18">
        <v>-2</v>
      </c>
      <c r="E13" s="18">
        <v>1.5</v>
      </c>
      <c r="F13" s="18"/>
      <c r="G13" s="18"/>
      <c r="H13" s="18">
        <v>-6</v>
      </c>
      <c r="I13" s="18">
        <f>D13+E13</f>
        <v>-0.5</v>
      </c>
      <c r="J13" s="18">
        <f>AVERAGE(I10:I13)</f>
        <v>6.825</v>
      </c>
      <c r="K13" s="18"/>
      <c r="L13" s="18">
        <f>-H13+L12</f>
        <v>82</v>
      </c>
      <c r="M13" s="18"/>
      <c r="N13" s="23">
        <f>1+N12</f>
        <v>10</v>
      </c>
    </row>
    <row r="14" ht="20.05" customHeight="1">
      <c r="B14" s="31"/>
      <c r="C14" s="20"/>
      <c r="D14" s="18">
        <v>5</v>
      </c>
      <c r="E14" s="18">
        <v>-1.5</v>
      </c>
      <c r="F14" s="18"/>
      <c r="G14" s="18"/>
      <c r="H14" s="18">
        <v>-3</v>
      </c>
      <c r="I14" s="18">
        <f>D14+E14</f>
        <v>3.5</v>
      </c>
      <c r="J14" s="18">
        <f>AVERAGE(I11:I14)</f>
        <v>5</v>
      </c>
      <c r="K14" s="18"/>
      <c r="L14" s="18">
        <f>-H14+L13</f>
        <v>85</v>
      </c>
      <c r="M14" s="18"/>
      <c r="N14" s="23">
        <f>1+N13</f>
        <v>11</v>
      </c>
    </row>
    <row r="15" ht="20.05" customHeight="1">
      <c r="B15" s="31"/>
      <c r="C15" s="20"/>
      <c r="D15" s="18">
        <v>11</v>
      </c>
      <c r="E15" s="18">
        <v>-3</v>
      </c>
      <c r="F15" s="18"/>
      <c r="G15" s="18"/>
      <c r="H15" s="18">
        <v>-10</v>
      </c>
      <c r="I15" s="18">
        <f>D15+E15</f>
        <v>8</v>
      </c>
      <c r="J15" s="18">
        <f>AVERAGE(I12:I15)</f>
        <v>3.75</v>
      </c>
      <c r="K15" s="18"/>
      <c r="L15" s="18">
        <f>-H15+L14</f>
        <v>95</v>
      </c>
      <c r="M15" s="18"/>
      <c r="N15" s="23">
        <f>1+N14</f>
        <v>12</v>
      </c>
    </row>
    <row r="16" ht="20.05" customHeight="1">
      <c r="B16" s="34">
        <v>2018</v>
      </c>
      <c r="C16" s="20"/>
      <c r="D16" s="18">
        <v>5</v>
      </c>
      <c r="E16" s="18">
        <v>-0.2</v>
      </c>
      <c r="F16" s="18"/>
      <c r="G16" s="18"/>
      <c r="H16" s="18">
        <v>-5</v>
      </c>
      <c r="I16" s="18">
        <f>D16+E16</f>
        <v>4.8</v>
      </c>
      <c r="J16" s="18">
        <f>AVERAGE(I13:I16)</f>
        <v>3.95</v>
      </c>
      <c r="K16" s="18"/>
      <c r="L16" s="18">
        <f>-H16+L15</f>
        <v>100</v>
      </c>
      <c r="M16" s="18"/>
      <c r="N16" s="23">
        <f>1+N15</f>
        <v>13</v>
      </c>
    </row>
    <row r="17" ht="20.05" customHeight="1">
      <c r="B17" s="31"/>
      <c r="C17" s="20"/>
      <c r="D17" s="18">
        <v>4</v>
      </c>
      <c r="E17" s="18">
        <v>-0.3</v>
      </c>
      <c r="F17" s="18"/>
      <c r="G17" s="18"/>
      <c r="H17" s="18">
        <v>-4</v>
      </c>
      <c r="I17" s="18">
        <f>D17+E17</f>
        <v>3.7</v>
      </c>
      <c r="J17" s="18">
        <f>AVERAGE(I14:I17)</f>
        <v>5</v>
      </c>
      <c r="K17" s="18"/>
      <c r="L17" s="18">
        <f>-H17+L16</f>
        <v>104</v>
      </c>
      <c r="M17" s="18"/>
      <c r="N17" s="23">
        <f>1+N16</f>
        <v>14</v>
      </c>
    </row>
    <row r="18" ht="20.05" customHeight="1">
      <c r="B18" s="31"/>
      <c r="C18" s="20"/>
      <c r="D18" s="18">
        <v>4</v>
      </c>
      <c r="E18" s="18">
        <v>-0.5</v>
      </c>
      <c r="F18" s="18"/>
      <c r="G18" s="18"/>
      <c r="H18" s="18">
        <v>-4</v>
      </c>
      <c r="I18" s="18">
        <f>D18+E18</f>
        <v>3.5</v>
      </c>
      <c r="J18" s="18">
        <f>AVERAGE(I15:I18)</f>
        <v>5</v>
      </c>
      <c r="K18" s="18"/>
      <c r="L18" s="18">
        <f>-H18+L17</f>
        <v>108</v>
      </c>
      <c r="M18" s="18"/>
      <c r="N18" s="23">
        <f>1+N17</f>
        <v>15</v>
      </c>
    </row>
    <row r="19" ht="20.05" customHeight="1">
      <c r="B19" s="31"/>
      <c r="C19" s="20"/>
      <c r="D19" s="18">
        <v>3</v>
      </c>
      <c r="E19" s="18">
        <v>0</v>
      </c>
      <c r="F19" s="18"/>
      <c r="G19" s="18"/>
      <c r="H19" s="18">
        <v>-4</v>
      </c>
      <c r="I19" s="18">
        <f>D19+E19</f>
        <v>3</v>
      </c>
      <c r="J19" s="18">
        <f>AVERAGE(I16:I19)</f>
        <v>3.75</v>
      </c>
      <c r="K19" s="18"/>
      <c r="L19" s="18">
        <f>-H19+L18</f>
        <v>112</v>
      </c>
      <c r="M19" s="18"/>
      <c r="N19" s="23">
        <f>1+N18</f>
        <v>16</v>
      </c>
    </row>
    <row r="20" ht="20.05" customHeight="1">
      <c r="B20" s="34">
        <v>2019</v>
      </c>
      <c r="C20" s="17">
        <v>11.8</v>
      </c>
      <c r="D20" s="18">
        <v>2.485</v>
      </c>
      <c r="E20" s="18">
        <v>0.531</v>
      </c>
      <c r="F20" s="18"/>
      <c r="G20" s="18"/>
      <c r="H20" s="18">
        <v>-3.18</v>
      </c>
      <c r="I20" s="18">
        <f>D20+E20</f>
        <v>3.016</v>
      </c>
      <c r="J20" s="18">
        <f>AVERAGE(I17:I20)</f>
        <v>3.304</v>
      </c>
      <c r="K20" s="18"/>
      <c r="L20" s="18">
        <f>-H20+L19</f>
        <v>115.18</v>
      </c>
      <c r="M20" s="18"/>
      <c r="N20" s="23">
        <f>1+N19</f>
        <v>17</v>
      </c>
    </row>
    <row r="21" ht="20.05" customHeight="1">
      <c r="B21" s="31"/>
      <c r="C21" s="17">
        <f>22.57-C20</f>
        <v>10.77</v>
      </c>
      <c r="D21" s="18">
        <v>-0.185</v>
      </c>
      <c r="E21" s="18">
        <v>-0.711</v>
      </c>
      <c r="F21" s="18"/>
      <c r="G21" s="18"/>
      <c r="H21" s="18">
        <v>-0.58</v>
      </c>
      <c r="I21" s="18">
        <f>D21+E21</f>
        <v>-0.896</v>
      </c>
      <c r="J21" s="18">
        <f>AVERAGE(I18:I21)</f>
        <v>2.155</v>
      </c>
      <c r="K21" s="18"/>
      <c r="L21" s="18">
        <f>-H21+L20</f>
        <v>115.76</v>
      </c>
      <c r="M21" s="18"/>
      <c r="N21" s="23">
        <f>1+N20</f>
        <v>18</v>
      </c>
    </row>
    <row r="22" ht="20.05" customHeight="1">
      <c r="B22" s="31"/>
      <c r="C22" s="17">
        <f>38.898-C21-C20</f>
        <v>16.328</v>
      </c>
      <c r="D22" s="18">
        <v>-0.17</v>
      </c>
      <c r="E22" s="18">
        <v>2.38</v>
      </c>
      <c r="F22" s="18"/>
      <c r="G22" s="18"/>
      <c r="H22" s="18">
        <v>-1.84</v>
      </c>
      <c r="I22" s="18">
        <f>D22+E22</f>
        <v>2.21</v>
      </c>
      <c r="J22" s="18">
        <f>AVERAGE(I19:I22)</f>
        <v>1.8325</v>
      </c>
      <c r="K22" s="18"/>
      <c r="L22" s="18">
        <f>-H22+L21</f>
        <v>117.6</v>
      </c>
      <c r="M22" s="18"/>
      <c r="N22" s="23">
        <f>1+N21</f>
        <v>19</v>
      </c>
    </row>
    <row r="23" ht="20.05" customHeight="1">
      <c r="B23" s="31"/>
      <c r="C23" s="17">
        <v>0</v>
      </c>
      <c r="D23" s="18">
        <v>0.67</v>
      </c>
      <c r="E23" s="18">
        <v>0.7</v>
      </c>
      <c r="F23" s="18"/>
      <c r="G23" s="18"/>
      <c r="H23" s="18">
        <v>-0.7</v>
      </c>
      <c r="I23" s="18">
        <f>D23+E23</f>
        <v>1.37</v>
      </c>
      <c r="J23" s="18">
        <f>AVERAGE(I20:I23)</f>
        <v>1.425</v>
      </c>
      <c r="K23" s="18"/>
      <c r="L23" s="18">
        <f>-H23+L22</f>
        <v>118.3</v>
      </c>
      <c r="M23" s="18"/>
      <c r="N23" s="23">
        <f>1+N22</f>
        <v>20</v>
      </c>
    </row>
    <row r="24" ht="20.05" customHeight="1">
      <c r="B24" s="34">
        <v>2020</v>
      </c>
      <c r="C24" s="17">
        <v>9.800000000000001</v>
      </c>
      <c r="D24" s="18">
        <v>1.7</v>
      </c>
      <c r="E24" s="18">
        <v>-1</v>
      </c>
      <c r="F24" s="18"/>
      <c r="G24" s="18"/>
      <c r="H24" s="18">
        <v>-2.4</v>
      </c>
      <c r="I24" s="18">
        <f>D24+E24</f>
        <v>0.7</v>
      </c>
      <c r="J24" s="18">
        <f>AVERAGE(I21:I24)</f>
        <v>0.846</v>
      </c>
      <c r="K24" s="18"/>
      <c r="L24" s="18">
        <f>-H24+L23</f>
        <v>120.7</v>
      </c>
      <c r="M24" s="18"/>
      <c r="N24" s="23">
        <f>1+N23</f>
        <v>21</v>
      </c>
    </row>
    <row r="25" ht="20.05" customHeight="1">
      <c r="B25" s="31"/>
      <c r="C25" s="17">
        <f>18-C24</f>
        <v>8.199999999999999</v>
      </c>
      <c r="D25" s="18">
        <v>3.36</v>
      </c>
      <c r="E25" s="18">
        <v>1</v>
      </c>
      <c r="F25" s="18"/>
      <c r="G25" s="18"/>
      <c r="H25" s="18">
        <v>-2.05</v>
      </c>
      <c r="I25" s="18">
        <f>D25+E25</f>
        <v>4.36</v>
      </c>
      <c r="J25" s="18">
        <f>AVERAGE(I22:I25)</f>
        <v>2.16</v>
      </c>
      <c r="K25" s="18"/>
      <c r="L25" s="18">
        <f>-H25+L24</f>
        <v>122.75</v>
      </c>
      <c r="M25" s="18"/>
      <c r="N25" s="23">
        <f>1+N24</f>
        <v>22</v>
      </c>
    </row>
    <row r="26" ht="20.05" customHeight="1">
      <c r="B26" s="31"/>
      <c r="C26" s="17">
        <f>29.096-C25-C24</f>
        <v>11.096</v>
      </c>
      <c r="D26" s="18">
        <v>1.41</v>
      </c>
      <c r="E26" s="18">
        <v>0.143</v>
      </c>
      <c r="F26" s="18"/>
      <c r="G26" s="18"/>
      <c r="H26" s="18">
        <v>-1.422</v>
      </c>
      <c r="I26" s="18">
        <f>D26+E26</f>
        <v>1.553</v>
      </c>
      <c r="J26" s="18">
        <f>AVERAGE(I23:I26)</f>
        <v>1.99575</v>
      </c>
      <c r="K26" s="18"/>
      <c r="L26" s="18">
        <f>-H26+L25</f>
        <v>124.172</v>
      </c>
      <c r="M26" s="18"/>
      <c r="N26" s="23">
        <f>1+N25</f>
        <v>23</v>
      </c>
    </row>
    <row r="27" ht="20.05" customHeight="1">
      <c r="B27" s="31"/>
      <c r="C27" s="17">
        <f>46.324-SUM(C24:C26)</f>
        <v>17.228</v>
      </c>
      <c r="D27" s="18">
        <f>6.425-SUM(D24:D26)</f>
        <v>-0.045</v>
      </c>
      <c r="E27" s="18">
        <f>1.841-SUM(E24:E26)</f>
        <v>1.698</v>
      </c>
      <c r="F27" s="18"/>
      <c r="G27" s="18"/>
      <c r="H27" s="18">
        <f>-9.912-SUM(H24:H26)</f>
        <v>-4.04</v>
      </c>
      <c r="I27" s="18">
        <f>D27+E27</f>
        <v>1.653</v>
      </c>
      <c r="J27" s="18">
        <f>AVERAGE(I24:I27)</f>
        <v>2.0665</v>
      </c>
      <c r="K27" s="18"/>
      <c r="L27" s="18">
        <f>-H27+L26</f>
        <v>128.212</v>
      </c>
      <c r="M27" s="18"/>
      <c r="N27" s="23">
        <f>1+N26</f>
        <v>24</v>
      </c>
    </row>
    <row r="28" ht="20.05" customHeight="1">
      <c r="B28" s="34">
        <v>2021</v>
      </c>
      <c r="C28" s="17">
        <v>10.3</v>
      </c>
      <c r="D28" s="18">
        <v>4.72</v>
      </c>
      <c r="E28" s="18">
        <v>-0.17</v>
      </c>
      <c r="F28" s="18">
        <v>-2.1</v>
      </c>
      <c r="G28" s="18"/>
      <c r="H28" s="18">
        <v>-4.8</v>
      </c>
      <c r="I28" s="18">
        <f>D28+E28</f>
        <v>4.55</v>
      </c>
      <c r="J28" s="18">
        <f>AVERAGE(I25:I28)</f>
        <v>3.029</v>
      </c>
      <c r="K28" s="18"/>
      <c r="L28" s="18">
        <f>-H28+L27</f>
        <v>133.012</v>
      </c>
      <c r="M28" s="18"/>
      <c r="N28" s="23">
        <f>1+N27</f>
        <v>25</v>
      </c>
    </row>
    <row r="29" ht="20.05" customHeight="1">
      <c r="B29" s="31"/>
      <c r="C29" s="17">
        <f>22.1-C28</f>
        <v>11.8</v>
      </c>
      <c r="D29" s="18">
        <f>5.3-D28</f>
        <v>0.58</v>
      </c>
      <c r="E29" s="18">
        <f>-0.6-E28</f>
        <v>-0.43</v>
      </c>
      <c r="F29" s="18">
        <f>-6-F28</f>
        <v>-3.9</v>
      </c>
      <c r="G29" s="18">
        <v>0.75</v>
      </c>
      <c r="H29" s="18">
        <f>-4.5-H28</f>
        <v>0.3</v>
      </c>
      <c r="I29" s="18">
        <f>D29+E29</f>
        <v>0.15</v>
      </c>
      <c r="J29" s="18">
        <f>AVERAGE(I26:I29)</f>
        <v>1.9765</v>
      </c>
      <c r="K29" s="18"/>
      <c r="L29" s="18">
        <f>-H29+L28</f>
        <v>132.712</v>
      </c>
      <c r="M29" s="18"/>
      <c r="N29" s="23">
        <f>1+N28</f>
        <v>26</v>
      </c>
    </row>
    <row r="30" ht="20.05" customHeight="1">
      <c r="B30" s="31"/>
      <c r="C30" s="17">
        <f>28.9-C29-C28</f>
        <v>6.8</v>
      </c>
      <c r="D30" s="18">
        <f>4.4-D29-D28</f>
        <v>-0.9</v>
      </c>
      <c r="E30" s="18">
        <f>9.4-E29-E28</f>
        <v>10</v>
      </c>
      <c r="F30" s="18">
        <f>-14-F29-F28</f>
        <v>-8</v>
      </c>
      <c r="G30" s="18">
        <f>0.75-G29</f>
        <v>0</v>
      </c>
      <c r="H30" s="18">
        <f>-14.4-H29-H28</f>
        <v>-9.9</v>
      </c>
      <c r="I30" s="18">
        <f>D30+E30</f>
        <v>9.1</v>
      </c>
      <c r="J30" s="18">
        <f>AVERAGE(I27:I30)</f>
        <v>3.86325</v>
      </c>
      <c r="K30" s="18"/>
      <c r="L30" s="18">
        <f>-H30+L29</f>
        <v>142.612</v>
      </c>
      <c r="M30" s="18"/>
      <c r="N30" s="23">
        <f>1+N29</f>
        <v>27</v>
      </c>
    </row>
    <row r="31" ht="20.05" customHeight="1">
      <c r="B31" s="31"/>
      <c r="C31" s="17">
        <f>41.8-C30-C29-C28</f>
        <v>12.9</v>
      </c>
      <c r="D31" s="18">
        <f>7.1-D30-D29-D28</f>
        <v>2.7</v>
      </c>
      <c r="E31" s="18">
        <f>18.4-E30-E29-E28</f>
        <v>9</v>
      </c>
      <c r="F31" s="18">
        <f>-20.5-F30-F29-F28</f>
        <v>-6.5</v>
      </c>
      <c r="G31" s="18">
        <f>12.75-G30-G29-G28</f>
        <v>12</v>
      </c>
      <c r="H31" s="18">
        <f>-18.1-H30-H29-H28</f>
        <v>-3.7</v>
      </c>
      <c r="I31" s="18">
        <f>D31+E31</f>
        <v>11.7</v>
      </c>
      <c r="J31" s="18">
        <f>AVERAGE(I28:I31)</f>
        <v>6.375</v>
      </c>
      <c r="K31" s="33"/>
      <c r="L31" s="18">
        <f>-H31+L30</f>
        <v>146.312</v>
      </c>
      <c r="M31" s="33"/>
      <c r="N31" s="23">
        <f>1+N30</f>
        <v>28</v>
      </c>
    </row>
    <row r="32" ht="20.05" customHeight="1">
      <c r="B32" s="34">
        <v>2022</v>
      </c>
      <c r="C32" s="17">
        <v>8</v>
      </c>
      <c r="D32" s="18">
        <v>1.63</v>
      </c>
      <c r="E32" s="18">
        <v>-8</v>
      </c>
      <c r="F32" s="18">
        <v>-2.1</v>
      </c>
      <c r="G32" s="18">
        <v>0</v>
      </c>
      <c r="H32" s="18">
        <v>-1.45</v>
      </c>
      <c r="I32" s="18">
        <f>D32+E32</f>
        <v>-6.37</v>
      </c>
      <c r="J32" s="18">
        <f>AVERAGE(I29:I32)</f>
        <v>3.645</v>
      </c>
      <c r="K32" s="18">
        <f>J32</f>
        <v>3.645</v>
      </c>
      <c r="L32" s="18">
        <f>-H32+L31</f>
        <v>147.762</v>
      </c>
      <c r="M32" s="18">
        <f>L32</f>
        <v>147.762</v>
      </c>
      <c r="N32" s="23">
        <f>1+N31</f>
        <v>29</v>
      </c>
    </row>
    <row r="33" ht="20.05" customHeight="1">
      <c r="B33" s="31"/>
      <c r="C33" s="17"/>
      <c r="D33" s="18"/>
      <c r="E33" s="18"/>
      <c r="F33" s="18"/>
      <c r="G33" s="18"/>
      <c r="H33" s="18"/>
      <c r="I33" s="18"/>
      <c r="J33" s="33"/>
      <c r="K33" s="18">
        <f>SUM('Model'!F9:F10)</f>
        <v>2.76573967008478</v>
      </c>
      <c r="L33" s="33"/>
      <c r="M33" s="18">
        <f>'Model'!F34</f>
        <v>155.601315986657</v>
      </c>
      <c r="N33" s="23"/>
    </row>
  </sheetData>
  <mergeCells count="1">
    <mergeCell ref="B2:N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75781" style="39" customWidth="1"/>
    <col min="2" max="2" width="7.25" style="39" customWidth="1"/>
    <col min="3" max="11" width="10.5938" style="39" customWidth="1"/>
    <col min="12" max="16384" width="16.3516" style="39" customWidth="1"/>
  </cols>
  <sheetData>
    <row r="1" ht="42.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52</v>
      </c>
      <c r="C3" t="s" s="5">
        <v>53</v>
      </c>
      <c r="D3" t="s" s="5">
        <v>54</v>
      </c>
      <c r="E3" t="s" s="5">
        <v>23</v>
      </c>
      <c r="F3" t="s" s="5">
        <v>24</v>
      </c>
      <c r="G3" t="s" s="5">
        <v>11</v>
      </c>
      <c r="H3" t="s" s="5">
        <v>26</v>
      </c>
      <c r="I3" t="s" s="5">
        <v>27</v>
      </c>
      <c r="J3" t="s" s="5">
        <v>28</v>
      </c>
      <c r="K3" t="s" s="5">
        <v>37</v>
      </c>
    </row>
    <row r="4" ht="20.25" customHeight="1">
      <c r="B4" s="26">
        <v>2015</v>
      </c>
      <c r="C4" s="40">
        <v>27</v>
      </c>
      <c r="D4" s="41">
        <v>485</v>
      </c>
      <c r="E4" s="41">
        <f>D4-C4</f>
        <v>458</v>
      </c>
      <c r="F4" s="41"/>
      <c r="G4" s="41">
        <v>222</v>
      </c>
      <c r="H4" s="41">
        <v>263</v>
      </c>
      <c r="I4" s="41">
        <f>G4+H4-C4-E4</f>
        <v>0</v>
      </c>
      <c r="J4" s="41">
        <f>C4-G4</f>
        <v>-195</v>
      </c>
      <c r="K4" s="42"/>
    </row>
    <row r="5" ht="20.05" customHeight="1">
      <c r="B5" s="31"/>
      <c r="C5" s="43">
        <v>22</v>
      </c>
      <c r="D5" s="44">
        <v>471</v>
      </c>
      <c r="E5" s="44">
        <f>D5-C5</f>
        <v>449</v>
      </c>
      <c r="F5" s="44"/>
      <c r="G5" s="44">
        <v>208</v>
      </c>
      <c r="H5" s="44">
        <v>262</v>
      </c>
      <c r="I5" s="44">
        <f>G5+H5-C5-E5</f>
        <v>-1</v>
      </c>
      <c r="J5" s="44">
        <f>C5-G5</f>
        <v>-186</v>
      </c>
      <c r="K5" s="45"/>
    </row>
    <row r="6" ht="20.05" customHeight="1">
      <c r="B6" s="31"/>
      <c r="C6" s="43">
        <v>19</v>
      </c>
      <c r="D6" s="44">
        <v>462</v>
      </c>
      <c r="E6" s="44">
        <f>D6-C6</f>
        <v>443</v>
      </c>
      <c r="F6" s="44"/>
      <c r="G6" s="44">
        <v>204</v>
      </c>
      <c r="H6" s="44">
        <v>259</v>
      </c>
      <c r="I6" s="44">
        <f>G6+H6-C6-E6</f>
        <v>1</v>
      </c>
      <c r="J6" s="44">
        <f>C6-G6</f>
        <v>-185</v>
      </c>
      <c r="K6" s="45"/>
    </row>
    <row r="7" ht="20.05" customHeight="1">
      <c r="B7" s="31"/>
      <c r="C7" s="43">
        <v>16</v>
      </c>
      <c r="D7" s="44">
        <v>446</v>
      </c>
      <c r="E7" s="44">
        <f>D7-C7</f>
        <v>430</v>
      </c>
      <c r="F7" s="44"/>
      <c r="G7" s="44">
        <v>192</v>
      </c>
      <c r="H7" s="44">
        <v>254</v>
      </c>
      <c r="I7" s="44">
        <f>G7+H7-C7-E7</f>
        <v>0</v>
      </c>
      <c r="J7" s="44">
        <f>C7-G7</f>
        <v>-176</v>
      </c>
      <c r="K7" s="45"/>
    </row>
    <row r="8" ht="20.05" customHeight="1">
      <c r="B8" s="34">
        <v>2016</v>
      </c>
      <c r="C8" s="43">
        <v>11</v>
      </c>
      <c r="D8" s="44">
        <v>438</v>
      </c>
      <c r="E8" s="44">
        <f>D8-C8</f>
        <v>427</v>
      </c>
      <c r="F8" s="44"/>
      <c r="G8" s="44">
        <v>187</v>
      </c>
      <c r="H8" s="44">
        <v>252</v>
      </c>
      <c r="I8" s="44">
        <f>G8+H8-C8-E8</f>
        <v>1</v>
      </c>
      <c r="J8" s="44">
        <f>C8-G8</f>
        <v>-176</v>
      </c>
      <c r="K8" s="45"/>
    </row>
    <row r="9" ht="20.05" customHeight="1">
      <c r="B9" s="31"/>
      <c r="C9" s="43">
        <v>13</v>
      </c>
      <c r="D9" s="44">
        <v>435</v>
      </c>
      <c r="E9" s="44">
        <f>D9-C9</f>
        <v>422</v>
      </c>
      <c r="F9" s="44"/>
      <c r="G9" s="44">
        <v>182</v>
      </c>
      <c r="H9" s="44">
        <v>254</v>
      </c>
      <c r="I9" s="44">
        <f>G9+H9-C9-E9</f>
        <v>1</v>
      </c>
      <c r="J9" s="44">
        <f>C9-G9</f>
        <v>-169</v>
      </c>
      <c r="K9" s="45"/>
    </row>
    <row r="10" ht="20.05" customHeight="1">
      <c r="B10" s="31"/>
      <c r="C10" s="43">
        <v>16</v>
      </c>
      <c r="D10" s="44">
        <v>419</v>
      </c>
      <c r="E10" s="44">
        <f>D10-C10</f>
        <v>403</v>
      </c>
      <c r="F10" s="44"/>
      <c r="G10" s="44">
        <v>177</v>
      </c>
      <c r="H10" s="44">
        <v>243</v>
      </c>
      <c r="I10" s="44">
        <f>G10+H10-C10-E10</f>
        <v>1</v>
      </c>
      <c r="J10" s="44">
        <f>C10-G10</f>
        <v>-161</v>
      </c>
      <c r="K10" s="45"/>
    </row>
    <row r="11" ht="20.05" customHeight="1">
      <c r="B11" s="31"/>
      <c r="C11" s="43">
        <v>15</v>
      </c>
      <c r="D11" s="44">
        <v>401</v>
      </c>
      <c r="E11" s="44">
        <f>D11-C11</f>
        <v>386</v>
      </c>
      <c r="F11" s="44"/>
      <c r="G11" s="44">
        <v>170</v>
      </c>
      <c r="H11" s="44">
        <v>232</v>
      </c>
      <c r="I11" s="44">
        <f>G11+H11-C11-E11</f>
        <v>1</v>
      </c>
      <c r="J11" s="44">
        <f>C11-G11</f>
        <v>-155</v>
      </c>
      <c r="K11" s="45"/>
    </row>
    <row r="12" ht="20.05" customHeight="1">
      <c r="B12" s="34">
        <v>2017</v>
      </c>
      <c r="C12" s="43">
        <v>15</v>
      </c>
      <c r="D12" s="44">
        <v>386</v>
      </c>
      <c r="E12" s="44">
        <f>D12-C12</f>
        <v>371</v>
      </c>
      <c r="F12" s="44"/>
      <c r="G12" s="44">
        <v>160</v>
      </c>
      <c r="H12" s="44">
        <v>226</v>
      </c>
      <c r="I12" s="44">
        <f>G12+H12-C12-E12</f>
        <v>0</v>
      </c>
      <c r="J12" s="44">
        <f>C12-G12</f>
        <v>-145</v>
      </c>
      <c r="K12" s="45"/>
    </row>
    <row r="13" ht="20.05" customHeight="1">
      <c r="B13" s="31"/>
      <c r="C13" s="43">
        <v>8</v>
      </c>
      <c r="D13" s="44">
        <v>376</v>
      </c>
      <c r="E13" s="44">
        <f>D13-C13</f>
        <v>368</v>
      </c>
      <c r="F13" s="44"/>
      <c r="G13" s="44">
        <v>156</v>
      </c>
      <c r="H13" s="44">
        <v>220</v>
      </c>
      <c r="I13" s="44">
        <f>G13+H13-C13-E13</f>
        <v>0</v>
      </c>
      <c r="J13" s="44">
        <f>C13-G13</f>
        <v>-148</v>
      </c>
      <c r="K13" s="45"/>
    </row>
    <row r="14" ht="20.05" customHeight="1">
      <c r="B14" s="31"/>
      <c r="C14" s="43">
        <v>8</v>
      </c>
      <c r="D14" s="44">
        <v>369</v>
      </c>
      <c r="E14" s="44">
        <f>D14-C14</f>
        <v>361</v>
      </c>
      <c r="F14" s="44"/>
      <c r="G14" s="44">
        <v>150</v>
      </c>
      <c r="H14" s="44">
        <v>218</v>
      </c>
      <c r="I14" s="44">
        <f>G14+H14-C14-E14</f>
        <v>-1</v>
      </c>
      <c r="J14" s="44">
        <f>C14-G14</f>
        <v>-142</v>
      </c>
      <c r="K14" s="45"/>
    </row>
    <row r="15" ht="20.05" customHeight="1">
      <c r="B15" s="31"/>
      <c r="C15" s="43">
        <v>6</v>
      </c>
      <c r="D15" s="44">
        <v>339</v>
      </c>
      <c r="E15" s="44">
        <f>D15-C15</f>
        <v>333</v>
      </c>
      <c r="F15" s="44"/>
      <c r="G15" s="44">
        <v>137</v>
      </c>
      <c r="H15" s="44">
        <v>201</v>
      </c>
      <c r="I15" s="44">
        <f>G15+H15-C15-E15</f>
        <v>-1</v>
      </c>
      <c r="J15" s="44">
        <f>C15-G15</f>
        <v>-131</v>
      </c>
      <c r="K15" s="45"/>
    </row>
    <row r="16" ht="20.05" customHeight="1">
      <c r="B16" s="34">
        <v>2018</v>
      </c>
      <c r="C16" s="43">
        <v>6</v>
      </c>
      <c r="D16" s="44">
        <v>332</v>
      </c>
      <c r="E16" s="44">
        <f>D16-C16</f>
        <v>326</v>
      </c>
      <c r="F16" s="44"/>
      <c r="G16" s="44">
        <v>127</v>
      </c>
      <c r="H16" s="44">
        <v>206</v>
      </c>
      <c r="I16" s="44">
        <f>G16+H16-C16-E16</f>
        <v>1</v>
      </c>
      <c r="J16" s="44">
        <f>C16-G16</f>
        <v>-121</v>
      </c>
      <c r="K16" s="45"/>
    </row>
    <row r="17" ht="20.05" customHeight="1">
      <c r="B17" s="31"/>
      <c r="C17" s="43">
        <v>6</v>
      </c>
      <c r="D17" s="44">
        <v>310</v>
      </c>
      <c r="E17" s="44">
        <f>D17-C17</f>
        <v>304</v>
      </c>
      <c r="F17" s="44"/>
      <c r="G17" s="44">
        <v>108</v>
      </c>
      <c r="H17" s="44">
        <v>202</v>
      </c>
      <c r="I17" s="44">
        <f>G17+H17-C17-E17</f>
        <v>0</v>
      </c>
      <c r="J17" s="44">
        <f>C17-G17</f>
        <v>-102</v>
      </c>
      <c r="K17" s="45"/>
    </row>
    <row r="18" ht="20.05" customHeight="1">
      <c r="B18" s="31"/>
      <c r="C18" s="43">
        <v>5</v>
      </c>
      <c r="D18" s="44">
        <v>304</v>
      </c>
      <c r="E18" s="44">
        <f>D18-C18</f>
        <v>299</v>
      </c>
      <c r="F18" s="44">
        <v>206</v>
      </c>
      <c r="G18" s="44">
        <v>106</v>
      </c>
      <c r="H18" s="44">
        <v>198</v>
      </c>
      <c r="I18" s="44">
        <f>G18+H18-C18-E18</f>
        <v>0</v>
      </c>
      <c r="J18" s="44">
        <f>C18-G18</f>
        <v>-101</v>
      </c>
      <c r="K18" s="45"/>
    </row>
    <row r="19" ht="20.05" customHeight="1">
      <c r="B19" s="31"/>
      <c r="C19" s="43">
        <v>4</v>
      </c>
      <c r="D19" s="44">
        <v>275</v>
      </c>
      <c r="E19" s="44">
        <f>D19-C19</f>
        <v>271</v>
      </c>
      <c r="F19" s="44">
        <v>221</v>
      </c>
      <c r="G19" s="44">
        <v>103</v>
      </c>
      <c r="H19" s="44">
        <v>172</v>
      </c>
      <c r="I19" s="44">
        <f>G19+H19-C19-E19</f>
        <v>0</v>
      </c>
      <c r="J19" s="44">
        <f>C19-G19</f>
        <v>-99</v>
      </c>
      <c r="K19" s="45"/>
    </row>
    <row r="20" ht="20.05" customHeight="1">
      <c r="B20" s="34">
        <v>2019</v>
      </c>
      <c r="C20" s="43">
        <v>4</v>
      </c>
      <c r="D20" s="44">
        <v>270</v>
      </c>
      <c r="E20" s="44">
        <f>D20-C20</f>
        <v>266</v>
      </c>
      <c r="F20" s="44">
        <v>227</v>
      </c>
      <c r="G20" s="44">
        <v>101</v>
      </c>
      <c r="H20" s="44">
        <v>169</v>
      </c>
      <c r="I20" s="44">
        <f>G20+H20-C20-E20</f>
        <v>0</v>
      </c>
      <c r="J20" s="44">
        <f>C20-G20</f>
        <v>-97</v>
      </c>
      <c r="K20" s="45"/>
    </row>
    <row r="21" ht="20.05" customHeight="1">
      <c r="B21" s="31"/>
      <c r="C21" s="43">
        <v>3</v>
      </c>
      <c r="D21" s="44">
        <v>267</v>
      </c>
      <c r="E21" s="44">
        <f>D21-C21</f>
        <v>264</v>
      </c>
      <c r="F21" s="44">
        <v>231</v>
      </c>
      <c r="G21" s="44">
        <v>101</v>
      </c>
      <c r="H21" s="44">
        <v>166</v>
      </c>
      <c r="I21" s="44">
        <f>G21+H21-C21-E21</f>
        <v>0</v>
      </c>
      <c r="J21" s="44">
        <f>C21-G21</f>
        <v>-98</v>
      </c>
      <c r="K21" s="45"/>
    </row>
    <row r="22" ht="20.05" customHeight="1">
      <c r="B22" s="31"/>
      <c r="C22" s="43">
        <v>3</v>
      </c>
      <c r="D22" s="44">
        <v>259</v>
      </c>
      <c r="E22" s="44">
        <f>D22-C22</f>
        <v>256</v>
      </c>
      <c r="F22" s="44">
        <v>232</v>
      </c>
      <c r="G22" s="44">
        <v>93</v>
      </c>
      <c r="H22" s="44">
        <v>166</v>
      </c>
      <c r="I22" s="44">
        <f>G22+H22-C22-E22</f>
        <v>0</v>
      </c>
      <c r="J22" s="44">
        <f>C22-G22</f>
        <v>-90</v>
      </c>
      <c r="K22" s="21"/>
    </row>
    <row r="23" ht="20.05" customHeight="1">
      <c r="B23" s="31"/>
      <c r="C23" s="43">
        <v>4</v>
      </c>
      <c r="D23" s="44">
        <v>248</v>
      </c>
      <c r="E23" s="44">
        <f>D23-C23</f>
        <v>244</v>
      </c>
      <c r="F23" s="44">
        <v>246</v>
      </c>
      <c r="G23" s="44">
        <v>93</v>
      </c>
      <c r="H23" s="44">
        <v>155</v>
      </c>
      <c r="I23" s="44">
        <f>G23+H23-C23-E23</f>
        <v>0</v>
      </c>
      <c r="J23" s="44">
        <f>C23-G23</f>
        <v>-89</v>
      </c>
      <c r="K23" s="21"/>
    </row>
    <row r="24" ht="20.05" customHeight="1">
      <c r="B24" s="34">
        <v>2020</v>
      </c>
      <c r="C24" s="43">
        <v>2</v>
      </c>
      <c r="D24" s="44">
        <v>244</v>
      </c>
      <c r="E24" s="44">
        <f>D24-C24</f>
        <v>242</v>
      </c>
      <c r="F24" s="44">
        <v>249</v>
      </c>
      <c r="G24" s="44">
        <v>88</v>
      </c>
      <c r="H24" s="44">
        <v>156</v>
      </c>
      <c r="I24" s="44">
        <f>G24+H24-C24-E24</f>
        <v>0</v>
      </c>
      <c r="J24" s="44">
        <f>C24-G24</f>
        <v>-86</v>
      </c>
      <c r="K24" s="21"/>
    </row>
    <row r="25" ht="20.05" customHeight="1">
      <c r="B25" s="31"/>
      <c r="C25" s="43">
        <v>4.468</v>
      </c>
      <c r="D25" s="44">
        <v>238.04</v>
      </c>
      <c r="E25" s="44">
        <f>D25-C25</f>
        <v>233.572</v>
      </c>
      <c r="F25" s="44">
        <v>246.189</v>
      </c>
      <c r="G25" s="44">
        <v>87.229</v>
      </c>
      <c r="H25" s="44">
        <v>150.816</v>
      </c>
      <c r="I25" s="44">
        <f>G25+H25-C25-E25</f>
        <v>0.005</v>
      </c>
      <c r="J25" s="44">
        <f>C25-G25</f>
        <v>-82.761</v>
      </c>
      <c r="K25" s="21"/>
    </row>
    <row r="26" ht="20.05" customHeight="1">
      <c r="B26" s="31"/>
      <c r="C26" s="43">
        <v>4.293</v>
      </c>
      <c r="D26" s="44">
        <v>231.094</v>
      </c>
      <c r="E26" s="44">
        <f>D26-C26</f>
        <v>226.801</v>
      </c>
      <c r="F26" s="44">
        <v>250.4</v>
      </c>
      <c r="G26" s="44">
        <v>84.184</v>
      </c>
      <c r="H26" s="44">
        <v>146.9</v>
      </c>
      <c r="I26" s="44">
        <f>G26+H26-C26-E26</f>
        <v>-0.01</v>
      </c>
      <c r="J26" s="44">
        <f>C26-G26</f>
        <v>-79.89100000000001</v>
      </c>
      <c r="K26" s="44"/>
    </row>
    <row r="27" ht="20.05" customHeight="1">
      <c r="B27" s="31"/>
      <c r="C27" s="17">
        <v>2.242</v>
      </c>
      <c r="D27" s="18">
        <v>220.313</v>
      </c>
      <c r="E27" s="44">
        <f>D27-C27</f>
        <v>218.071</v>
      </c>
      <c r="F27" s="18">
        <f>F26+'Sales'!E27</f>
        <v>254.4</v>
      </c>
      <c r="G27" s="44">
        <v>79.899</v>
      </c>
      <c r="H27" s="44">
        <v>140.414</v>
      </c>
      <c r="I27" s="44">
        <f>G27+H27-C27-E27</f>
        <v>0</v>
      </c>
      <c r="J27" s="44">
        <f>C27-G27</f>
        <v>-77.657</v>
      </c>
      <c r="K27" s="21"/>
    </row>
    <row r="28" ht="20.05" customHeight="1">
      <c r="B28" s="34">
        <v>2021</v>
      </c>
      <c r="C28" s="17">
        <f>C27+'Cashflow'!D28+'Cashflow'!E28+'Cashflow'!H28</f>
        <v>1.992</v>
      </c>
      <c r="D28" s="18">
        <v>216.6</v>
      </c>
      <c r="E28" s="44">
        <f>D28-C28</f>
        <v>214.608</v>
      </c>
      <c r="F28" s="18">
        <f>F27+'Sales'!E28</f>
        <v>257.7</v>
      </c>
      <c r="G28" s="44">
        <v>76</v>
      </c>
      <c r="H28" s="44">
        <v>140.6</v>
      </c>
      <c r="I28" s="44">
        <f>G28+H28-C28-E28</f>
        <v>0</v>
      </c>
      <c r="J28" s="44">
        <f>C28-G28</f>
        <v>-74.008</v>
      </c>
      <c r="K28" s="44"/>
    </row>
    <row r="29" ht="20.05" customHeight="1">
      <c r="B29" s="31"/>
      <c r="C29" s="17">
        <f>C28+'Cashflow'!D29+'Cashflow'!E29+'Cashflow'!H29</f>
        <v>2.442</v>
      </c>
      <c r="D29" s="18">
        <v>212.878744</v>
      </c>
      <c r="E29" s="44">
        <f>D29-C29</f>
        <v>210.436744</v>
      </c>
      <c r="F29" s="18">
        <f t="shared" si="80" ref="F29:F30">224.275352</f>
        <v>224.275352</v>
      </c>
      <c r="G29" s="44">
        <v>71.540413</v>
      </c>
      <c r="H29" s="44">
        <v>141.338331</v>
      </c>
      <c r="I29" s="44">
        <f>G29+H29-C29-E29</f>
        <v>0</v>
      </c>
      <c r="J29" s="44">
        <f>C29-G29</f>
        <v>-69.09841299999999</v>
      </c>
      <c r="K29" s="44"/>
    </row>
    <row r="30" ht="20.05" customHeight="1">
      <c r="B30" s="31"/>
      <c r="C30" s="17">
        <f>C29+'Cashflow'!D30+'Cashflow'!E30+'Cashflow'!H30</f>
        <v>1.642</v>
      </c>
      <c r="D30" s="18">
        <v>201.4</v>
      </c>
      <c r="E30" s="44">
        <f>D30-C30</f>
        <v>199.758</v>
      </c>
      <c r="F30" s="18">
        <f t="shared" si="80"/>
        <v>224.275352</v>
      </c>
      <c r="G30" s="44">
        <v>59.6</v>
      </c>
      <c r="H30" s="44">
        <v>141.8</v>
      </c>
      <c r="I30" s="44">
        <f>G30+H30-C30-E30</f>
        <v>0</v>
      </c>
      <c r="J30" s="44">
        <f>C30-G30</f>
        <v>-57.958</v>
      </c>
      <c r="K30" s="44"/>
    </row>
    <row r="31" ht="20.05" customHeight="1">
      <c r="B31" s="31"/>
      <c r="C31" s="17">
        <f>C30+'Cashflow'!D31+'Cashflow'!E31+'Cashflow'!H31</f>
        <v>9.641999999999999</v>
      </c>
      <c r="D31" s="18">
        <v>196</v>
      </c>
      <c r="E31" s="44">
        <f>D31-C31</f>
        <v>186.358</v>
      </c>
      <c r="F31" s="18">
        <f>F30+'Sales'!E31</f>
        <v>227.575352</v>
      </c>
      <c r="G31" s="44">
        <v>42</v>
      </c>
      <c r="H31" s="44">
        <f>D31-G31</f>
        <v>154</v>
      </c>
      <c r="I31" s="44">
        <f>G31+H31-C31-E31</f>
        <v>0</v>
      </c>
      <c r="J31" s="44">
        <f>C31-G31</f>
        <v>-32.358</v>
      </c>
      <c r="K31" s="33"/>
    </row>
    <row r="32" ht="20.05" customHeight="1">
      <c r="B32" s="34">
        <v>2022</v>
      </c>
      <c r="C32" s="17">
        <f>C31+'Cashflow'!D32+'Cashflow'!E32+'Cashflow'!H32</f>
        <v>1.822</v>
      </c>
      <c r="D32" s="18">
        <v>193.4</v>
      </c>
      <c r="E32" s="44">
        <f>D32-C32</f>
        <v>191.578</v>
      </c>
      <c r="F32" s="18">
        <f>F31+'Sales'!E32</f>
        <v>230.675352</v>
      </c>
      <c r="G32" s="44">
        <v>41.9</v>
      </c>
      <c r="H32" s="44">
        <f>D32-G32</f>
        <v>151.5</v>
      </c>
      <c r="I32" s="44">
        <f>G32+H32-C32-E32</f>
        <v>0</v>
      </c>
      <c r="J32" s="44">
        <f>C32-G32</f>
        <v>-40.078</v>
      </c>
      <c r="K32" s="44">
        <f>J32</f>
        <v>-40.078</v>
      </c>
    </row>
    <row r="33" ht="20.05" customHeight="1">
      <c r="B33" s="31"/>
      <c r="C33" s="17"/>
      <c r="D33" s="18"/>
      <c r="E33" s="44"/>
      <c r="F33" s="18"/>
      <c r="G33" s="44"/>
      <c r="H33" s="44"/>
      <c r="I33" s="44"/>
      <c r="J33" s="44"/>
      <c r="K33" s="44">
        <f>'Model'!F31</f>
        <v>-29.5513454202777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21"/>
  <sheetViews>
    <sheetView workbookViewId="0" showGridLines="0" defaultGridColor="1"/>
  </sheetViews>
  <sheetFormatPr defaultColWidth="8.33333" defaultRowHeight="19.9" customHeight="1" outlineLevelRow="0" outlineLevelCol="0"/>
  <cols>
    <col min="1" max="1" width="9.35156" style="46" customWidth="1"/>
    <col min="2" max="2" width="8.625" style="46" customWidth="1"/>
    <col min="3" max="4" width="10.1875" style="46" customWidth="1"/>
    <col min="5" max="16384" width="8.35156" style="46" customWidth="1"/>
  </cols>
  <sheetData>
    <row r="1" ht="27.65" customHeight="1">
      <c r="A1" t="s" s="2">
        <v>55</v>
      </c>
      <c r="B1" s="2"/>
      <c r="C1" s="2"/>
      <c r="D1" s="2"/>
    </row>
    <row r="2" ht="20.25" customHeight="1">
      <c r="A2" t="s" s="47">
        <v>56</v>
      </c>
      <c r="B2" t="s" s="47">
        <v>57</v>
      </c>
      <c r="C2" t="s" s="5">
        <v>58</v>
      </c>
      <c r="D2" t="s" s="5">
        <v>59</v>
      </c>
    </row>
    <row r="3" ht="20.25" customHeight="1">
      <c r="A3" s="48">
        <v>2018</v>
      </c>
      <c r="B3" s="49">
        <v>344</v>
      </c>
      <c r="C3" s="50"/>
      <c r="D3" s="50"/>
    </row>
    <row r="4" ht="20.05" customHeight="1">
      <c r="A4" s="51"/>
      <c r="B4" s="52">
        <v>308</v>
      </c>
      <c r="C4" s="53"/>
      <c r="D4" s="53"/>
    </row>
    <row r="5" ht="20.05" customHeight="1">
      <c r="A5" s="51"/>
      <c r="B5" s="52">
        <v>278</v>
      </c>
      <c r="C5" s="53"/>
      <c r="D5" s="53"/>
    </row>
    <row r="6" ht="20.05" customHeight="1">
      <c r="A6" s="51"/>
      <c r="B6" s="52">
        <v>220</v>
      </c>
      <c r="C6" s="53"/>
      <c r="D6" s="53"/>
    </row>
    <row r="7" ht="20.05" customHeight="1">
      <c r="A7" s="54">
        <v>2019</v>
      </c>
      <c r="B7" s="52">
        <v>230</v>
      </c>
      <c r="C7" s="53"/>
      <c r="D7" s="53"/>
    </row>
    <row r="8" ht="20.05" customHeight="1">
      <c r="A8" s="51"/>
      <c r="B8" s="52">
        <v>188</v>
      </c>
      <c r="C8" s="53"/>
      <c r="D8" s="53"/>
    </row>
    <row r="9" ht="20.05" customHeight="1">
      <c r="A9" s="51"/>
      <c r="B9" s="52">
        <v>138</v>
      </c>
      <c r="C9" s="53"/>
      <c r="D9" s="53"/>
    </row>
    <row r="10" ht="20.05" customHeight="1">
      <c r="A10" s="51"/>
      <c r="B10" s="52">
        <v>120</v>
      </c>
      <c r="C10" s="53"/>
      <c r="D10" s="53"/>
    </row>
    <row r="11" ht="20.05" customHeight="1">
      <c r="A11" s="54">
        <v>2020</v>
      </c>
      <c r="B11" s="52">
        <v>87</v>
      </c>
      <c r="C11" s="53"/>
      <c r="D11" s="53"/>
    </row>
    <row r="12" ht="20.05" customHeight="1">
      <c r="A12" s="51"/>
      <c r="B12" s="52">
        <v>91</v>
      </c>
      <c r="C12" s="53"/>
      <c r="D12" s="53"/>
    </row>
    <row r="13" ht="20.05" customHeight="1">
      <c r="A13" s="51"/>
      <c r="B13" s="52">
        <v>99</v>
      </c>
      <c r="C13" s="53"/>
      <c r="D13" s="55">
        <v>419.925</v>
      </c>
    </row>
    <row r="14" ht="20.05" customHeight="1">
      <c r="A14" s="51"/>
      <c r="B14" s="52">
        <v>107</v>
      </c>
      <c r="C14" s="53"/>
      <c r="D14" s="55">
        <v>658.309948291232</v>
      </c>
    </row>
    <row r="15" ht="20.05" customHeight="1">
      <c r="A15" s="54">
        <v>2021</v>
      </c>
      <c r="B15" s="56">
        <v>94</v>
      </c>
      <c r="C15" s="53"/>
      <c r="D15" s="55">
        <v>489.282993023003</v>
      </c>
    </row>
    <row r="16" ht="20.05" customHeight="1">
      <c r="A16" s="51"/>
      <c r="B16" s="56">
        <v>118</v>
      </c>
      <c r="C16" s="53"/>
      <c r="D16" s="55">
        <v>701.7889828125</v>
      </c>
    </row>
    <row r="17" ht="20.05" customHeight="1">
      <c r="A17" s="51"/>
      <c r="B17" s="56">
        <v>129</v>
      </c>
      <c r="C17" s="53"/>
      <c r="D17" s="53"/>
    </row>
    <row r="18" ht="20.05" customHeight="1">
      <c r="A18" s="51"/>
      <c r="B18" s="56">
        <v>192</v>
      </c>
      <c r="C18" s="53"/>
      <c r="D18" s="53"/>
    </row>
    <row r="19" ht="20.05" customHeight="1">
      <c r="A19" s="54">
        <v>2022</v>
      </c>
      <c r="B19" s="56">
        <v>166</v>
      </c>
      <c r="C19" s="53"/>
      <c r="D19" s="53"/>
    </row>
    <row r="20" ht="20.05" customHeight="1">
      <c r="A20" s="51"/>
      <c r="B20" s="56">
        <v>160</v>
      </c>
      <c r="C20" s="55">
        <f>B20</f>
        <v>160</v>
      </c>
      <c r="D20" s="55">
        <v>332.501034554015</v>
      </c>
    </row>
    <row r="21" ht="20.05" customHeight="1">
      <c r="A21" s="51"/>
      <c r="B21" s="56"/>
      <c r="C21" s="55">
        <f>'Model'!F45</f>
        <v>212.066270488797</v>
      </c>
      <c r="D21" s="53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X4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82812" style="57" customWidth="1"/>
    <col min="2" max="11" width="10.7344" style="57" customWidth="1"/>
    <col min="12" max="24" width="11.375" style="59" customWidth="1"/>
    <col min="25" max="16384" width="16.3516" style="59" customWidth="1"/>
  </cols>
  <sheetData>
    <row r="1" ht="10" customHeight="1"/>
    <row r="2" ht="27.65" customHeight="1">
      <c r="B2" t="s" s="2">
        <v>60</v>
      </c>
      <c r="C2" s="2"/>
      <c r="D2" s="2"/>
      <c r="E2" s="2"/>
      <c r="F2" s="2"/>
      <c r="G2" s="2"/>
      <c r="H2" s="2"/>
      <c r="I2" s="2"/>
      <c r="J2" s="2"/>
      <c r="K2" s="2"/>
    </row>
    <row r="3" ht="20.25" customHeight="1">
      <c r="B3" t="s" s="5">
        <v>1</v>
      </c>
      <c r="C3" t="s" s="5">
        <v>11</v>
      </c>
      <c r="D3" t="s" s="5">
        <v>26</v>
      </c>
      <c r="E3" t="s" s="5">
        <v>61</v>
      </c>
      <c r="F3" t="s" s="5">
        <v>11</v>
      </c>
      <c r="G3" t="s" s="5">
        <v>26</v>
      </c>
      <c r="H3" t="s" s="5">
        <v>61</v>
      </c>
      <c r="I3" s="4"/>
      <c r="J3" s="4"/>
      <c r="K3" s="4"/>
    </row>
    <row r="4" ht="20.25" customHeight="1">
      <c r="B4" s="26">
        <v>2009</v>
      </c>
      <c r="C4" s="58">
        <v>5.07142857142857</v>
      </c>
      <c r="D4" s="38">
        <v>-0.5</v>
      </c>
      <c r="E4" s="38">
        <f>C4+D4</f>
        <v>4.57142857142857</v>
      </c>
      <c r="F4" s="38">
        <f>C4</f>
        <v>5.07142857142857</v>
      </c>
      <c r="G4" s="38">
        <f>D4</f>
        <v>-0.5</v>
      </c>
      <c r="H4" s="38">
        <f>E4</f>
        <v>4.57142857142857</v>
      </c>
      <c r="I4" s="8"/>
      <c r="J4" s="8"/>
      <c r="K4" s="8"/>
    </row>
    <row r="5" ht="20.05" customHeight="1">
      <c r="B5" s="34">
        <f>1+$B4</f>
        <v>2010</v>
      </c>
      <c r="C5" s="22">
        <v>14.0714285714286</v>
      </c>
      <c r="D5" s="23">
        <v>31.3571428571429</v>
      </c>
      <c r="E5" s="23">
        <f>C5+D5</f>
        <v>45.4285714285715</v>
      </c>
      <c r="F5" s="23">
        <f>C5+F4</f>
        <v>19.1428571428572</v>
      </c>
      <c r="G5" s="23">
        <f>D5+G4</f>
        <v>30.8571428571429</v>
      </c>
      <c r="H5" s="23">
        <f>E5+H4</f>
        <v>50.0000000000001</v>
      </c>
      <c r="I5" s="33"/>
      <c r="J5" s="33"/>
      <c r="K5" s="33"/>
    </row>
    <row r="6" ht="20.05" customHeight="1">
      <c r="B6" s="34">
        <f>1+$B5</f>
        <v>2011</v>
      </c>
      <c r="C6" s="20">
        <f>44-20</f>
        <v>24</v>
      </c>
      <c r="D6" s="21">
        <f>2.8-1.9</f>
        <v>0.9</v>
      </c>
      <c r="E6" s="23">
        <f>C6+D6</f>
        <v>24.9</v>
      </c>
      <c r="F6" s="23">
        <f>C6+F5</f>
        <v>43.1428571428572</v>
      </c>
      <c r="G6" s="23">
        <f>D6+G5</f>
        <v>31.7571428571429</v>
      </c>
      <c r="H6" s="23">
        <f>E6+H5</f>
        <v>74.90000000000011</v>
      </c>
      <c r="I6" s="33"/>
      <c r="J6" s="33"/>
      <c r="K6" s="33"/>
    </row>
    <row r="7" ht="20.05" customHeight="1">
      <c r="B7" s="34">
        <f>1+$B6</f>
        <v>2012</v>
      </c>
      <c r="C7" s="20">
        <f>61-29</f>
        <v>32</v>
      </c>
      <c r="D7" s="21">
        <f>4-1.8</f>
        <v>2.2</v>
      </c>
      <c r="E7" s="23">
        <f>C7+D7</f>
        <v>34.2</v>
      </c>
      <c r="F7" s="23">
        <f>C7+F6</f>
        <v>75.1428571428572</v>
      </c>
      <c r="G7" s="23">
        <f>D7+G6</f>
        <v>33.9571428571429</v>
      </c>
      <c r="H7" s="23">
        <f>E7+H6</f>
        <v>109.1</v>
      </c>
      <c r="I7" s="33"/>
      <c r="J7" s="33"/>
      <c r="K7" s="33"/>
    </row>
    <row r="8" ht="20.05" customHeight="1">
      <c r="B8" s="34">
        <f>1+$B7</f>
        <v>2013</v>
      </c>
      <c r="C8" s="22">
        <f>61-31</f>
        <v>30</v>
      </c>
      <c r="D8" s="23">
        <f>4-1.75</f>
        <v>2.25</v>
      </c>
      <c r="E8" s="23">
        <f>C8+D8</f>
        <v>32.25</v>
      </c>
      <c r="F8" s="23">
        <f>C8+F7</f>
        <v>105.142857142857</v>
      </c>
      <c r="G8" s="23">
        <f>D8+G7</f>
        <v>36.2071428571429</v>
      </c>
      <c r="H8" s="23">
        <f>E8+H7</f>
        <v>141.35</v>
      </c>
      <c r="I8" s="33"/>
      <c r="J8" s="33"/>
      <c r="K8" s="33"/>
    </row>
    <row r="9" ht="20.05" customHeight="1">
      <c r="B9" s="34">
        <f>1+$B8</f>
        <v>2014</v>
      </c>
      <c r="C9" s="22">
        <f>52-34</f>
        <v>18</v>
      </c>
      <c r="D9" s="23">
        <f>9-4</f>
        <v>5</v>
      </c>
      <c r="E9" s="23">
        <f>C9+D9</f>
        <v>23</v>
      </c>
      <c r="F9" s="23">
        <f>C9+F8</f>
        <v>123.142857142857</v>
      </c>
      <c r="G9" s="23">
        <f>D9+G8</f>
        <v>41.2071428571429</v>
      </c>
      <c r="H9" s="23">
        <f>E9+H8</f>
        <v>164.35</v>
      </c>
      <c r="I9" s="33"/>
      <c r="J9" s="33"/>
      <c r="K9" s="33"/>
    </row>
    <row r="10" ht="20.05" customHeight="1">
      <c r="B10" s="34">
        <f>1+$B9</f>
        <v>2015</v>
      </c>
      <c r="C10" s="22">
        <f>9-38</f>
        <v>-29</v>
      </c>
      <c r="D10" s="23">
        <f>0.3</f>
        <v>0.3</v>
      </c>
      <c r="E10" s="23">
        <f>C10+D10</f>
        <v>-28.7</v>
      </c>
      <c r="F10" s="23">
        <f>C10+F9</f>
        <v>94.142857142857</v>
      </c>
      <c r="G10" s="23">
        <f>D10+G9</f>
        <v>41.5071428571429</v>
      </c>
      <c r="H10" s="23">
        <f>E10+H9</f>
        <v>135.65</v>
      </c>
      <c r="I10" s="33"/>
      <c r="J10" s="33"/>
      <c r="K10" s="33"/>
    </row>
    <row r="11" ht="20.05" customHeight="1">
      <c r="B11" s="34">
        <f>1+$B10</f>
        <v>2016</v>
      </c>
      <c r="C11" s="22">
        <f>10-34</f>
        <v>-24</v>
      </c>
      <c r="D11" s="23">
        <v>0</v>
      </c>
      <c r="E11" s="23">
        <f>C11+D11</f>
        <v>-24</v>
      </c>
      <c r="F11" s="23">
        <f>C11+F10</f>
        <v>70.142857142857</v>
      </c>
      <c r="G11" s="23">
        <f>D11+G10</f>
        <v>41.5071428571429</v>
      </c>
      <c r="H11" s="23">
        <f>E11+H10</f>
        <v>111.65</v>
      </c>
      <c r="I11" s="33"/>
      <c r="J11" s="33"/>
      <c r="K11" s="33"/>
    </row>
    <row r="12" ht="20.05" customHeight="1">
      <c r="B12" s="34">
        <f>1+$B11</f>
        <v>2017</v>
      </c>
      <c r="C12" s="22">
        <f>7-26</f>
        <v>-19</v>
      </c>
      <c r="D12" s="23">
        <v>0</v>
      </c>
      <c r="E12" s="23">
        <f>C12+D12</f>
        <v>-19</v>
      </c>
      <c r="F12" s="23">
        <f>C12+F11</f>
        <v>51.142857142857</v>
      </c>
      <c r="G12" s="23">
        <f>D12+G11</f>
        <v>41.5071428571429</v>
      </c>
      <c r="H12" s="23">
        <f>E12+H11</f>
        <v>92.65000000000001</v>
      </c>
      <c r="I12" s="33"/>
      <c r="J12" s="33"/>
      <c r="K12" s="33"/>
    </row>
    <row r="13" ht="20.05" customHeight="1">
      <c r="B13" s="34">
        <f>1+$B12</f>
        <v>2018</v>
      </c>
      <c r="C13" s="22">
        <f>1.3-20</f>
        <v>-18.7</v>
      </c>
      <c r="D13" s="23">
        <v>5.2</v>
      </c>
      <c r="E13" s="23">
        <f>C13+D13</f>
        <v>-13.5</v>
      </c>
      <c r="F13" s="23">
        <f>C13+F12</f>
        <v>32.442857142857</v>
      </c>
      <c r="G13" s="23">
        <f>D13+G12</f>
        <v>46.7071428571429</v>
      </c>
      <c r="H13" s="23">
        <f>E13+H12</f>
        <v>79.15000000000001</v>
      </c>
      <c r="I13" s="33"/>
      <c r="J13" s="33"/>
      <c r="K13" s="33"/>
    </row>
    <row r="14" ht="20.05" customHeight="1">
      <c r="B14" s="34">
        <f>1+$B13</f>
        <v>2019</v>
      </c>
      <c r="C14" s="22">
        <f>3-11.3</f>
        <v>-8.300000000000001</v>
      </c>
      <c r="D14" s="23">
        <f>1.3-0.9</f>
        <v>0.4</v>
      </c>
      <c r="E14" s="23">
        <f>C14+D14</f>
        <v>-7.9</v>
      </c>
      <c r="F14" s="23">
        <f>C14+F13</f>
        <v>24.142857142857</v>
      </c>
      <c r="G14" s="23">
        <f>D14+G13</f>
        <v>47.1071428571429</v>
      </c>
      <c r="H14" s="23">
        <f>E14+H13</f>
        <v>71.25</v>
      </c>
      <c r="I14" s="23">
        <f>AVERAGE(E4:E16)*14</f>
        <v>59.7692307692308</v>
      </c>
      <c r="J14" s="33"/>
      <c r="K14" s="33"/>
    </row>
    <row r="15" ht="20.05" customHeight="1">
      <c r="B15" s="34">
        <f>1+$B14</f>
        <v>2020</v>
      </c>
      <c r="C15" s="22">
        <v>-8</v>
      </c>
      <c r="D15" s="23">
        <v>0</v>
      </c>
      <c r="E15" s="23">
        <f>C15+D15</f>
        <v>-8</v>
      </c>
      <c r="F15" s="23">
        <f>C15+F14</f>
        <v>16.142857142857</v>
      </c>
      <c r="G15" s="23">
        <f>D15+G14</f>
        <v>47.1071428571429</v>
      </c>
      <c r="H15" s="23">
        <f>E15+H14</f>
        <v>63.25</v>
      </c>
      <c r="I15" s="23">
        <f>AVERAGE(E12:E16)*14</f>
        <v>-157.22</v>
      </c>
      <c r="J15" s="33"/>
      <c r="K15" s="33"/>
    </row>
    <row r="16" ht="20.05" customHeight="1">
      <c r="B16" s="34">
        <f>1+$B15</f>
        <v>2021</v>
      </c>
      <c r="C16" s="22">
        <f>SUM('Cashflow'!F28:F31)</f>
        <v>-20.5</v>
      </c>
      <c r="D16" s="23">
        <f>SUM('Cashflow'!G28:G31)</f>
        <v>12.75</v>
      </c>
      <c r="E16" s="23">
        <f>C16+D16</f>
        <v>-7.75</v>
      </c>
      <c r="F16" s="23">
        <f>C16+F15</f>
        <v>-4.357142857143</v>
      </c>
      <c r="G16" s="23">
        <f>D16+G15</f>
        <v>59.8571428571429</v>
      </c>
      <c r="H16" s="23">
        <f>E16+H15</f>
        <v>55.5</v>
      </c>
      <c r="I16" s="23">
        <f>SUM('Cashflow'!F29:G32)*14</f>
        <v>-108.5</v>
      </c>
      <c r="J16" s="33"/>
      <c r="K16" s="33"/>
    </row>
    <row r="17" ht="20.05" customHeight="1">
      <c r="B17" s="34">
        <f>1+$B16</f>
        <v>2022</v>
      </c>
      <c r="C17" s="22">
        <f>'Cashflow'!F32</f>
        <v>-2.1</v>
      </c>
      <c r="D17" s="23">
        <f>'Cashflow'!G32</f>
        <v>0</v>
      </c>
      <c r="E17" s="23">
        <f>C17+D17</f>
        <v>-2.1</v>
      </c>
      <c r="F17" s="23">
        <f>C17+F16</f>
        <v>-6.457142857143</v>
      </c>
      <c r="G17" s="23">
        <f>D17+G16</f>
        <v>59.8571428571429</v>
      </c>
      <c r="H17" s="23">
        <f>E17+H16</f>
        <v>53.4</v>
      </c>
      <c r="I17" s="33"/>
      <c r="J17" s="33"/>
      <c r="K17" s="33"/>
    </row>
    <row r="19" ht="27.65" customHeight="1">
      <c r="L19" t="s" s="2">
        <v>62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20.25" customHeight="1"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20.25" customHeight="1">
      <c r="L21" s="60"/>
      <c r="M21" t="s" s="61">
        <v>63</v>
      </c>
      <c r="N21" s="62">
        <v>695374381056</v>
      </c>
      <c r="O21" t="s" s="63">
        <v>64</v>
      </c>
      <c r="P21" s="8"/>
      <c r="Q21" s="8"/>
      <c r="R21" s="8"/>
      <c r="S21" s="8"/>
      <c r="T21" s="8"/>
      <c r="U21" s="8"/>
      <c r="V21" s="8"/>
      <c r="W21" s="8"/>
      <c r="X21" s="8"/>
    </row>
    <row r="22" ht="32.05" customHeight="1">
      <c r="L22" s="31"/>
      <c r="M22" t="s" s="64">
        <v>57</v>
      </c>
      <c r="N22" t="s" s="65">
        <v>65</v>
      </c>
      <c r="O22" t="s" s="65">
        <f>U41</f>
        <v>66</v>
      </c>
      <c r="P22" s="16">
        <f>V41</f>
        <v>-0.313068766884106</v>
      </c>
      <c r="Q22" t="s" s="65">
        <f>W41</f>
        <v>67</v>
      </c>
      <c r="R22" t="s" s="65">
        <f>X41</f>
        <v>68</v>
      </c>
      <c r="S22" s="33"/>
      <c r="T22" s="33"/>
      <c r="U22" s="33"/>
      <c r="V22" s="33"/>
      <c r="W22" s="33"/>
      <c r="X22" s="33"/>
    </row>
    <row r="23" ht="20.05" customHeight="1">
      <c r="L23" s="31"/>
      <c r="M23" s="66">
        <v>44643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ht="20.05" customHeight="1">
      <c r="L24" s="31"/>
      <c r="M24" t="s" s="64">
        <v>69</v>
      </c>
      <c r="N24" s="21">
        <f>$B4</f>
        <v>2009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ht="32.05" customHeight="1">
      <c r="L25" s="31"/>
      <c r="M25" t="s" s="64">
        <v>70</v>
      </c>
      <c r="N25" s="21">
        <f>(2022-N24)*4</f>
        <v>52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ht="32.05" customHeight="1">
      <c r="L26" s="31"/>
      <c r="M26" t="s" s="64">
        <v>71</v>
      </c>
      <c r="N26" s="23">
        <f>(N21/1000000000)/14</f>
        <v>49.6695986468571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ht="32.05" customHeight="1">
      <c r="L27" s="31"/>
      <c r="M27" t="s" s="64">
        <v>11</v>
      </c>
      <c r="N27" s="23">
        <f>S31</f>
        <v>-4.357142857143</v>
      </c>
      <c r="O27" t="s" s="65">
        <f>S28</f>
        <v>72</v>
      </c>
      <c r="P27" t="s" s="65">
        <f>IF(N27&gt;0,"raised","paid")</f>
        <v>73</v>
      </c>
      <c r="Q27" s="33"/>
      <c r="R27" s="33"/>
      <c r="S27" s="33"/>
      <c r="T27" s="33"/>
      <c r="U27" s="33"/>
      <c r="V27" s="33"/>
      <c r="W27" s="33"/>
      <c r="X27" s="33"/>
    </row>
    <row r="28" ht="32.05" customHeight="1">
      <c r="L28" s="31"/>
      <c r="M28" t="s" s="64">
        <f>M22</f>
        <v>57</v>
      </c>
      <c r="N28" t="s" s="65">
        <v>74</v>
      </c>
      <c r="O28" t="s" s="65">
        <f>IF(R28&gt;0,"raised","paid")</f>
        <v>73</v>
      </c>
      <c r="P28" t="s" s="65">
        <v>75</v>
      </c>
      <c r="Q28" t="s" s="65">
        <v>76</v>
      </c>
      <c r="R28" s="23">
        <f>AVERAGE(C4:C16)</f>
        <v>-0.335164835164833</v>
      </c>
      <c r="S28" t="s" s="65">
        <v>72</v>
      </c>
      <c r="T28" t="s" s="65">
        <v>77</v>
      </c>
      <c r="U28" s="16">
        <f>R28/N26</f>
        <v>-0.00674788692269896</v>
      </c>
      <c r="V28" t="s" s="65">
        <v>67</v>
      </c>
      <c r="W28" s="33"/>
      <c r="X28" s="33"/>
    </row>
    <row r="29" ht="32.05" customHeight="1">
      <c r="L29" s="31"/>
      <c r="M29" t="s" s="64">
        <v>78</v>
      </c>
      <c r="N29" t="s" s="65">
        <f>P28</f>
        <v>75</v>
      </c>
      <c r="O29" t="s" s="65">
        <v>79</v>
      </c>
      <c r="P29" t="s" s="65">
        <f>IF(R29&gt;0,"raised","paid")</f>
        <v>73</v>
      </c>
      <c r="Q29" t="s" s="65">
        <v>76</v>
      </c>
      <c r="R29" s="23">
        <f>AVERAGE(C12:C16)</f>
        <v>-14.9</v>
      </c>
      <c r="S29" t="s" s="65">
        <f>S28</f>
        <v>72</v>
      </c>
      <c r="T29" t="s" s="65">
        <v>77</v>
      </c>
      <c r="U29" s="16">
        <f>R29/N26</f>
        <v>-0.299982291097953</v>
      </c>
      <c r="V29" t="s" s="65">
        <v>67</v>
      </c>
      <c r="W29" s="33"/>
      <c r="X29" s="33"/>
    </row>
    <row r="30" ht="44.05" customHeight="1">
      <c r="L30" s="31"/>
      <c r="M30" t="s" s="64">
        <v>80</v>
      </c>
      <c r="N30" t="s" s="65">
        <v>81</v>
      </c>
      <c r="O30" s="23">
        <f>MAX(F4:F16)</f>
        <v>123.142857142857</v>
      </c>
      <c r="P30" t="s" s="65">
        <f>S29</f>
        <v>72</v>
      </c>
      <c r="Q30" t="s" s="65">
        <v>82</v>
      </c>
      <c r="R30" s="21">
        <f>$B9</f>
        <v>2014</v>
      </c>
      <c r="S30" s="33"/>
      <c r="T30" s="33"/>
      <c r="U30" s="33"/>
      <c r="V30" s="33"/>
      <c r="W30" s="33"/>
      <c r="X30" s="33"/>
    </row>
    <row r="31" ht="32.05" customHeight="1">
      <c r="L31" s="31"/>
      <c r="M31" t="s" s="64">
        <v>83</v>
      </c>
      <c r="N31" t="s" s="65">
        <f>N29</f>
        <v>75</v>
      </c>
      <c r="O31" t="s" s="65">
        <v>84</v>
      </c>
      <c r="P31" t="s" s="65">
        <v>85</v>
      </c>
      <c r="Q31" t="s" s="65">
        <f>IF(S31&lt;O30,"down","up")</f>
        <v>86</v>
      </c>
      <c r="R31" t="s" s="65">
        <v>87</v>
      </c>
      <c r="S31" s="23">
        <f>F16</f>
        <v>-4.357142857143</v>
      </c>
      <c r="T31" t="s" s="65">
        <f>S29</f>
        <v>72</v>
      </c>
      <c r="U31" s="33"/>
      <c r="V31" s="33"/>
      <c r="W31" s="33"/>
      <c r="X31" s="33"/>
    </row>
    <row r="32" ht="32.05" customHeight="1">
      <c r="L32" s="31"/>
      <c r="M32" t="s" s="64">
        <v>26</v>
      </c>
      <c r="N32" s="23">
        <f>S36</f>
        <v>59.8571428571429</v>
      </c>
      <c r="O32" t="s" s="65">
        <f>T31</f>
        <v>72</v>
      </c>
      <c r="P32" t="s" s="65">
        <f>IF(N32&gt;0,"raised","paid")</f>
        <v>88</v>
      </c>
      <c r="Q32" s="33"/>
      <c r="R32" s="33"/>
      <c r="S32" s="33"/>
      <c r="T32" s="33"/>
      <c r="U32" s="33"/>
      <c r="V32" s="33"/>
      <c r="W32" s="33"/>
      <c r="X32" s="33"/>
    </row>
    <row r="33" ht="32.05" customHeight="1">
      <c r="L33" s="31"/>
      <c r="M33" t="s" s="64">
        <f>M28</f>
        <v>57</v>
      </c>
      <c r="N33" t="s" s="65">
        <v>74</v>
      </c>
      <c r="O33" t="s" s="65">
        <f>IF(R33&gt;0,"raised","paid")</f>
        <v>88</v>
      </c>
      <c r="P33" t="s" s="65">
        <v>89</v>
      </c>
      <c r="Q33" t="s" s="65">
        <f>Q28</f>
        <v>76</v>
      </c>
      <c r="R33" s="23">
        <f>AVERAGE(D4:D16)</f>
        <v>4.60439560439561</v>
      </c>
      <c r="S33" t="s" s="65">
        <f>S28</f>
        <v>72</v>
      </c>
      <c r="T33" t="s" s="65">
        <f>T28</f>
        <v>77</v>
      </c>
      <c r="U33" s="16">
        <f>R33/N26</f>
        <v>0.09270047936429129</v>
      </c>
      <c r="V33" t="s" s="65">
        <f>V28</f>
        <v>67</v>
      </c>
      <c r="W33" s="33"/>
      <c r="X33" s="33"/>
    </row>
    <row r="34" ht="32.05" customHeight="1">
      <c r="L34" s="31"/>
      <c r="M34" t="s" s="64">
        <v>78</v>
      </c>
      <c r="N34" t="s" s="65">
        <f>P33</f>
        <v>89</v>
      </c>
      <c r="O34" t="s" s="65">
        <v>90</v>
      </c>
      <c r="P34" t="s" s="65">
        <f>IF(R34&gt;0,"raised","paid")</f>
        <v>88</v>
      </c>
      <c r="Q34" t="s" s="65">
        <v>76</v>
      </c>
      <c r="R34" s="23">
        <f>AVERAGE(D12:D16)</f>
        <v>3.67</v>
      </c>
      <c r="S34" t="s" s="65">
        <f>S33</f>
        <v>72</v>
      </c>
      <c r="T34" t="s" s="65">
        <v>77</v>
      </c>
      <c r="U34" s="16">
        <f>R34/N26</f>
        <v>0.0738882555925832</v>
      </c>
      <c r="V34" t="s" s="65">
        <f>V29</f>
        <v>67</v>
      </c>
      <c r="W34" s="33"/>
      <c r="X34" s="33"/>
    </row>
    <row r="35" ht="44.05" customHeight="1">
      <c r="L35" s="31"/>
      <c r="M35" t="s" s="64">
        <v>91</v>
      </c>
      <c r="N35" t="s" s="65">
        <v>81</v>
      </c>
      <c r="O35" s="23">
        <f>MAX(G4:G16)</f>
        <v>59.8571428571429</v>
      </c>
      <c r="P35" t="s" s="65">
        <f>S34</f>
        <v>72</v>
      </c>
      <c r="Q35" t="s" s="65">
        <v>82</v>
      </c>
      <c r="R35" s="21">
        <f>$B16</f>
        <v>2021</v>
      </c>
      <c r="S35" s="33"/>
      <c r="T35" s="33"/>
      <c r="U35" s="33"/>
      <c r="V35" s="33"/>
      <c r="W35" s="33"/>
      <c r="X35" s="33"/>
    </row>
    <row r="36" ht="32.05" customHeight="1">
      <c r="L36" s="31"/>
      <c r="M36" t="s" s="64">
        <v>83</v>
      </c>
      <c r="N36" t="s" s="65">
        <f>N34</f>
        <v>89</v>
      </c>
      <c r="O36" t="s" s="65">
        <v>84</v>
      </c>
      <c r="P36" t="s" s="65">
        <v>92</v>
      </c>
      <c r="Q36" t="s" s="65">
        <f>IF(S36&lt;O35,"down","up")</f>
        <v>93</v>
      </c>
      <c r="R36" t="s" s="65">
        <v>87</v>
      </c>
      <c r="S36" s="23">
        <f>G16</f>
        <v>59.8571428571429</v>
      </c>
      <c r="T36" t="s" s="65">
        <f>S34</f>
        <v>72</v>
      </c>
      <c r="U36" s="33"/>
      <c r="V36" s="33"/>
      <c r="W36" s="33"/>
      <c r="X36" s="33"/>
    </row>
    <row r="37" ht="32.05" customHeight="1">
      <c r="L37" s="31"/>
      <c r="M37" t="s" s="64">
        <v>94</v>
      </c>
      <c r="N37" s="23">
        <f>S41</f>
        <v>55.5</v>
      </c>
      <c r="O37" t="s" s="65">
        <f>T36</f>
        <v>72</v>
      </c>
      <c r="P37" t="s" s="65">
        <f>IF(N37&gt;0,"raised","paid")</f>
        <v>88</v>
      </c>
      <c r="Q37" s="33"/>
      <c r="R37" s="33"/>
      <c r="S37" s="33"/>
      <c r="T37" s="33"/>
      <c r="U37" s="33"/>
      <c r="V37" s="33"/>
      <c r="W37" s="33"/>
      <c r="X37" s="33"/>
    </row>
    <row r="38" ht="32.05" customHeight="1">
      <c r="L38" s="31"/>
      <c r="M38" t="s" s="64">
        <f>M33</f>
        <v>57</v>
      </c>
      <c r="N38" t="s" s="65">
        <v>74</v>
      </c>
      <c r="O38" t="s" s="65">
        <f>IF(R38&gt;0,"raised","paid")</f>
        <v>88</v>
      </c>
      <c r="P38" t="s" s="65">
        <v>95</v>
      </c>
      <c r="Q38" t="s" s="65">
        <f>Q33</f>
        <v>76</v>
      </c>
      <c r="R38" s="23">
        <f>AVERAGE(E4:E16)</f>
        <v>4.26923076923077</v>
      </c>
      <c r="S38" t="s" s="65">
        <f>S33</f>
        <v>72</v>
      </c>
      <c r="T38" t="s" s="65">
        <f>T33</f>
        <v>77</v>
      </c>
      <c r="U38" s="16">
        <f>R38/N26</f>
        <v>0.0859525924415922</v>
      </c>
      <c r="V38" t="s" s="65">
        <f>V33</f>
        <v>67</v>
      </c>
      <c r="W38" s="33"/>
      <c r="X38" s="33"/>
    </row>
    <row r="39" ht="32.05" customHeight="1">
      <c r="L39" s="31"/>
      <c r="M39" t="s" s="64">
        <v>78</v>
      </c>
      <c r="N39" t="s" s="65">
        <f>P38</f>
        <v>95</v>
      </c>
      <c r="O39" t="s" s="65">
        <v>90</v>
      </c>
      <c r="P39" t="s" s="65">
        <f>IF(R39&gt;0,"raised","paid")</f>
        <v>73</v>
      </c>
      <c r="Q39" t="s" s="65">
        <v>76</v>
      </c>
      <c r="R39" s="23">
        <f>AVERAGE(E12:E16)</f>
        <v>-11.23</v>
      </c>
      <c r="S39" t="s" s="65">
        <f>S38</f>
        <v>72</v>
      </c>
      <c r="T39" t="s" s="65">
        <v>77</v>
      </c>
      <c r="U39" s="16">
        <f>R39/N26</f>
        <v>-0.22609403550537</v>
      </c>
      <c r="V39" t="s" s="65">
        <f>V34</f>
        <v>67</v>
      </c>
      <c r="W39" s="33"/>
      <c r="X39" s="33"/>
    </row>
    <row r="40" ht="44.05" customHeight="1">
      <c r="L40" s="31"/>
      <c r="M40" t="s" s="64">
        <v>96</v>
      </c>
      <c r="N40" t="s" s="65">
        <v>81</v>
      </c>
      <c r="O40" s="23">
        <f>MAX(H4:H16)</f>
        <v>164.35</v>
      </c>
      <c r="P40" t="s" s="65">
        <f>S39</f>
        <v>72</v>
      </c>
      <c r="Q40" t="s" s="65">
        <v>82</v>
      </c>
      <c r="R40" s="21">
        <f>$B9</f>
        <v>2014</v>
      </c>
      <c r="S40" s="33"/>
      <c r="T40" s="33"/>
      <c r="U40" s="33"/>
      <c r="V40" s="33"/>
      <c r="W40" s="33"/>
      <c r="X40" s="33"/>
    </row>
    <row r="41" ht="32.05" customHeight="1">
      <c r="L41" s="31"/>
      <c r="M41" t="s" s="64">
        <v>83</v>
      </c>
      <c r="N41" t="s" s="65">
        <f>N39</f>
        <v>95</v>
      </c>
      <c r="O41" t="s" s="65">
        <v>84</v>
      </c>
      <c r="P41" t="s" s="65">
        <v>92</v>
      </c>
      <c r="Q41" t="s" s="65">
        <f>IF(S41&lt;O40,"down","up")</f>
        <v>86</v>
      </c>
      <c r="R41" t="s" s="65">
        <v>87</v>
      </c>
      <c r="S41" s="23">
        <f>H16</f>
        <v>55.5</v>
      </c>
      <c r="T41" t="s" s="65">
        <f>S39</f>
        <v>72</v>
      </c>
      <c r="U41" t="s" s="65">
        <v>66</v>
      </c>
      <c r="V41" s="16">
        <f>AVERAGE(E10:E16)/N26</f>
        <v>-0.313068766884106</v>
      </c>
      <c r="W41" t="s" s="65">
        <f>V39</f>
        <v>67</v>
      </c>
      <c r="X41" t="s" s="65">
        <v>68</v>
      </c>
    </row>
  </sheetData>
  <mergeCells count="2">
    <mergeCell ref="B2:K2"/>
    <mergeCell ref="L19:X19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