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<sst xmlns="http://schemas.openxmlformats.org/spreadsheetml/2006/main" uniqueCount="95">
  <si>
    <t>Financial model</t>
  </si>
  <si>
    <t>Rp 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</si>
  <si>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</si>
  <si>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</si>
  <si>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</si>
  <si>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</si>
  <si>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</si>
  <si>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</si>
  <si>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</si>
  <si>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</si>
  <si>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</si>
  <si>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</si>
  <si>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Payout </t>
  </si>
  <si>
    <t>Equity</t>
  </si>
  <si>
    <t>Before revolver</t>
  </si>
  <si>
    <t>Revolver</t>
  </si>
  <si>
    <t>Beginning</t>
  </si>
  <si>
    <t>Change</t>
  </si>
  <si>
    <t>Ending</t>
  </si>
  <si>
    <t>Profit</t>
  </si>
  <si>
    <t xml:space="preserve">Non cash costs </t>
  </si>
  <si>
    <t>Net profit</t>
  </si>
  <si>
    <t>Balance sheet</t>
  </si>
  <si>
    <t>Other assets</t>
  </si>
  <si>
    <t xml:space="preserve">Depreciation </t>
  </si>
  <si>
    <t>Net other assets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</si>
  <si>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</si>
  <si>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</si>
  <si>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</si>
  <si>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</si>
  <si>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</si>
  <si>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</si>
  <si>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</si>
  <si>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</si>
  <si>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</si>
  <si>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</si>
  <si>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</si>
  <si>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</si>
  <si>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</si>
  <si>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</si>
  <si>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</si>
  <si>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</si>
  <si>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Rpbn</t>
  </si>
  <si>
    <t xml:space="preserve">Net sales </t>
  </si>
  <si>
    <t xml:space="preserve">Sales growth </t>
  </si>
  <si>
    <t xml:space="preserve">Cost ratio </t>
  </si>
  <si>
    <t>Receipts</t>
  </si>
  <si>
    <t xml:space="preserve">Operating </t>
  </si>
  <si>
    <t xml:space="preserve">Investment </t>
  </si>
  <si>
    <t xml:space="preserve">Leases </t>
  </si>
  <si>
    <t>Liabilities</t>
  </si>
  <si>
    <t xml:space="preserve">Free cashflow </t>
  </si>
  <si>
    <t>Assets</t>
  </si>
  <si>
    <t xml:space="preserve">Cash </t>
  </si>
  <si>
    <t xml:space="preserve">Equity </t>
  </si>
  <si>
    <t xml:space="preserve">Check </t>
  </si>
  <si>
    <t xml:space="preserve">Net cash </t>
  </si>
  <si>
    <t>Share price</t>
  </si>
  <si>
    <t>WIIM</t>
  </si>
  <si>
    <t>Target</t>
  </si>
  <si>
    <t>Previous</t>
  </si>
  <si>
    <t>Capital-1</t>
  </si>
  <si>
    <t xml:space="preserve">Total </t>
  </si>
  <si>
    <t>Table 1-1</t>
  </si>
  <si>
    <t>Market value</t>
  </si>
  <si>
    <t xml:space="preserve">capital history </t>
  </si>
  <si>
    <t>of market value</t>
  </si>
  <si>
    <t>paid every year since 2013</t>
  </si>
  <si>
    <t xml:space="preserve">Start date </t>
  </si>
  <si>
    <t xml:space="preserve">Number of quarters </t>
  </si>
  <si>
    <t>Market value Rpbn</t>
  </si>
  <si>
    <t xml:space="preserve">billion rupiah </t>
  </si>
  <si>
    <t>paid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</si>
  <si>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</si>
  <si>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</si>
  <si>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</si>
  <si>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</si>
  <si>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</si>
  <si>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</si>
  <si>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</si>
  <si>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</si>
  <si>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</si>
  <si>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</si>
  <si>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</si>
  <si>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</si>
  <si>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</si>
  <si>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</si>
  <si>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>raised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</si>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</sst>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[$IDR]0"/>
    <numFmt numFmtId="62" formatCode="d mmm yyyy"/>
  </numFmts>
  <fonts count="8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2"/>
      <color indexed="15"/>
      <name val="Arial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8" applyNumberFormat="0" applyFont="1" applyFill="1" applyBorder="1" applyAlignment="1" applyProtection="0">
      <alignment vertical="top" wrapText="1"/>
    </xf>
    <xf numFmtId="49" fontId="2" fillId="2" borderId="9" applyNumberFormat="1" applyFont="1" applyFill="1" applyBorder="1" applyAlignment="1" applyProtection="0">
      <alignment horizontal="right" vertical="top" wrapText="1"/>
    </xf>
    <xf numFmtId="49" fontId="2" fillId="2" borderId="10" applyNumberFormat="1" applyFont="1" applyFill="1" applyBorder="1" applyAlignment="1" applyProtection="0">
      <alignment horizontal="right" vertical="top" wrapText="1"/>
    </xf>
    <xf numFmtId="0" fontId="2" fillId="4" borderId="11" applyNumberFormat="1" applyFont="1" applyFill="1" applyBorder="1" applyAlignment="1" applyProtection="0">
      <alignment vertical="top" wrapText="1"/>
    </xf>
    <xf numFmtId="3" fontId="3" borderId="9" applyNumberFormat="1" applyFont="1" applyFill="0" applyBorder="1" applyAlignment="1" applyProtection="0">
      <alignment vertical="center" wrapText="1" readingOrder="1"/>
    </xf>
    <xf numFmtId="3" fontId="4" borderId="12" applyNumberFormat="1" applyFont="1" applyFill="0" applyBorder="1" applyAlignment="1" applyProtection="0">
      <alignment vertical="center" wrapText="1" readingOrder="1"/>
    </xf>
    <xf numFmtId="3" fontId="4" borderId="13" applyNumberFormat="1" applyFont="1" applyFill="0" applyBorder="1" applyAlignment="1" applyProtection="0">
      <alignment vertical="center" wrapText="1" readingOrder="1"/>
    </xf>
    <xf numFmtId="0" fontId="2" fillId="4" borderId="14" applyNumberFormat="0" applyFont="1" applyFill="1" applyBorder="1" applyAlignment="1" applyProtection="0">
      <alignment vertical="top" wrapText="1"/>
    </xf>
    <xf numFmtId="3" fontId="4" borderId="15" applyNumberFormat="1" applyFont="1" applyFill="0" applyBorder="1" applyAlignment="1" applyProtection="0">
      <alignment vertical="center" wrapText="1" readingOrder="1"/>
    </xf>
    <xf numFmtId="3" fontId="4" borderId="16" applyNumberFormat="1" applyFont="1" applyFill="0" applyBorder="1" applyAlignment="1" applyProtection="0">
      <alignment vertical="center" wrapText="1" readingOrder="1"/>
    </xf>
    <xf numFmtId="0" fontId="2" fillId="4" borderId="14" applyNumberFormat="1" applyFont="1" applyFill="1" applyBorder="1" applyAlignment="1" applyProtection="0">
      <alignment vertical="top" wrapText="1"/>
    </xf>
    <xf numFmtId="3" fontId="3" borderId="10" applyNumberFormat="1" applyFont="1" applyFill="0" applyBorder="1" applyAlignment="1" applyProtection="0">
      <alignment vertical="center" wrapText="1" readingOrder="1"/>
    </xf>
    <xf numFmtId="3" fontId="0" borderId="17" applyNumberFormat="1" applyFont="1" applyFill="0" applyBorder="1" applyAlignment="1" applyProtection="0">
      <alignment vertical="top" wrapText="1"/>
    </xf>
    <xf numFmtId="0" fontId="2" fillId="4" borderId="18" applyNumberFormat="0" applyFont="1" applyFill="1" applyBorder="1" applyAlignment="1" applyProtection="0">
      <alignment vertical="top" wrapText="1"/>
    </xf>
    <xf numFmtId="3" fontId="0" borderId="10" applyNumberFormat="1" applyFont="1" applyFill="0" applyBorder="1" applyAlignment="1" applyProtection="0">
      <alignment vertical="top" wrapText="1"/>
    </xf>
    <xf numFmtId="0" fontId="2" fillId="4" borderId="8" applyNumberFormat="0" applyFont="1" applyFill="1" applyBorder="1" applyAlignment="1" applyProtection="0">
      <alignment vertical="top" wrapText="1"/>
    </xf>
    <xf numFmtId="0" fontId="2" fillId="4" borderId="8" applyNumberFormat="1" applyFont="1" applyFill="1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c6c6c6"/>
      <rgbColor rgb="ff5e5e5e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16105"/>
          <c:y val="0.0446026"/>
          <c:w val="0.842249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'!$B$3:$B$19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'!$F$3:$F$19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7.000000</c:v>
                </c:pt>
                <c:pt idx="5">
                  <c:v>20.400000</c:v>
                </c:pt>
                <c:pt idx="6">
                  <c:v>236.400000</c:v>
                </c:pt>
                <c:pt idx="7">
                  <c:v>233.400000</c:v>
                </c:pt>
                <c:pt idx="8">
                  <c:v>115.400000</c:v>
                </c:pt>
                <c:pt idx="9">
                  <c:v>167.400000</c:v>
                </c:pt>
                <c:pt idx="10">
                  <c:v>216.400000</c:v>
                </c:pt>
                <c:pt idx="11">
                  <c:v>144.400000</c:v>
                </c:pt>
                <c:pt idx="12">
                  <c:v>7.400000</c:v>
                </c:pt>
                <c:pt idx="13">
                  <c:v>-46.600000</c:v>
                </c:pt>
                <c:pt idx="14">
                  <c:v>-8.600000</c:v>
                </c:pt>
                <c:pt idx="15">
                  <c:v>-51.100000</c:v>
                </c:pt>
                <c:pt idx="16">
                  <c:v>-55.200000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'!$B$3:$B$19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'!$G$3:$G$19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-1.000000</c:v>
                </c:pt>
                <c:pt idx="5">
                  <c:v>-3.200000</c:v>
                </c:pt>
                <c:pt idx="6">
                  <c:v>-98.200000</c:v>
                </c:pt>
                <c:pt idx="7">
                  <c:v>196.800000</c:v>
                </c:pt>
                <c:pt idx="8">
                  <c:v>188.800000</c:v>
                </c:pt>
                <c:pt idx="9">
                  <c:v>148.800000</c:v>
                </c:pt>
                <c:pt idx="10">
                  <c:v>120.800000</c:v>
                </c:pt>
                <c:pt idx="11">
                  <c:v>67.800000</c:v>
                </c:pt>
                <c:pt idx="12">
                  <c:v>34.800000</c:v>
                </c:pt>
                <c:pt idx="13">
                  <c:v>34.800000</c:v>
                </c:pt>
                <c:pt idx="14">
                  <c:v>29.800000</c:v>
                </c:pt>
                <c:pt idx="15">
                  <c:v>22.400000</c:v>
                </c:pt>
                <c:pt idx="16">
                  <c:v>7.500000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'!$B$3:$B$19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'!$H$3:$H$19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6.000000</c:v>
                </c:pt>
                <c:pt idx="5">
                  <c:v>17.200000</c:v>
                </c:pt>
                <c:pt idx="6">
                  <c:v>138.200000</c:v>
                </c:pt>
                <c:pt idx="7">
                  <c:v>430.200000</c:v>
                </c:pt>
                <c:pt idx="8">
                  <c:v>304.200000</c:v>
                </c:pt>
                <c:pt idx="9">
                  <c:v>316.200000</c:v>
                </c:pt>
                <c:pt idx="10">
                  <c:v>337.200000</c:v>
                </c:pt>
                <c:pt idx="11">
                  <c:v>212.200000</c:v>
                </c:pt>
                <c:pt idx="12">
                  <c:v>42.200000</c:v>
                </c:pt>
                <c:pt idx="13">
                  <c:v>-11.800000</c:v>
                </c:pt>
                <c:pt idx="14">
                  <c:v>21.200000</c:v>
                </c:pt>
                <c:pt idx="15">
                  <c:v>-28.700000</c:v>
                </c:pt>
                <c:pt idx="16">
                  <c:v>-47.700000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56.25"/>
        <c:minorUnit val="78.1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98338"/>
          <c:y val="0.0580646"/>
          <c:w val="0.37622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323526</xdr:colOff>
      <xdr:row>1</xdr:row>
      <xdr:rowOff>298195</xdr:rowOff>
    </xdr:from>
    <xdr:to>
      <xdr:col>13</xdr:col>
      <xdr:colOff>270824</xdr:colOff>
      <xdr:row>48</xdr:row>
      <xdr:rowOff>30408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17726" y="513460"/>
          <a:ext cx="8659499" cy="118016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10757</xdr:colOff>
      <xdr:row>21</xdr:row>
      <xdr:rowOff>153032</xdr:rowOff>
    </xdr:from>
    <xdr:to>
      <xdr:col>5</xdr:col>
      <xdr:colOff>734848</xdr:colOff>
      <xdr:row>31</xdr:row>
      <xdr:rowOff>24317</xdr:rowOff>
    </xdr:to>
    <xdr:graphicFrame>
      <xdr:nvGraphicFramePr>
        <xdr:cNvPr id="4" name="2D Line Chart"/>
        <xdr:cNvGraphicFramePr/>
      </xdr:nvGraphicFramePr>
      <xdr:xfrm>
        <a:off x="1763357" y="5696582"/>
        <a:ext cx="3543492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831260</xdr:colOff>
      <xdr:row>20</xdr:row>
      <xdr:rowOff>97067</xdr:rowOff>
    </xdr:from>
    <xdr:to>
      <xdr:col>5</xdr:col>
      <xdr:colOff>854145</xdr:colOff>
      <xdr:row>21</xdr:row>
      <xdr:rowOff>247769</xdr:rowOff>
    </xdr:to>
    <xdr:sp>
      <xdr:nvSpPr>
        <xdr:cNvPr id="5" name="WIIM -48 billion rupiah paid"/>
        <xdr:cNvSpPr txBox="1"/>
      </xdr:nvSpPr>
      <xdr:spPr>
        <a:xfrm>
          <a:off x="1644060" y="5289462"/>
          <a:ext cx="3782086" cy="50185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WIIM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-48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billion rupiah paid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" style="1" customWidth="1"/>
    <col min="2" max="2" width="16.2656" style="1" customWidth="1"/>
    <col min="3" max="6" width="8.3125" style="1" customWidth="1"/>
    <col min="7" max="16384" width="16.3516" style="1" customWidth="1"/>
  </cols>
  <sheetData>
    <row r="1" ht="16.9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0.0786045660825465</v>
      </c>
      <c r="D4" s="8"/>
      <c r="E4" s="8"/>
      <c r="F4" s="9">
        <f>AVERAGE(C5:F5)</f>
        <v>0.025</v>
      </c>
    </row>
    <row r="5" ht="20.05" customHeight="1">
      <c r="B5" t="s" s="10">
        <v>4</v>
      </c>
      <c r="C5" s="11">
        <v>0.04</v>
      </c>
      <c r="D5" s="12">
        <v>0.05</v>
      </c>
      <c r="E5" s="12">
        <v>0.05</v>
      </c>
      <c r="F5" s="12">
        <v>-0.04</v>
      </c>
    </row>
    <row r="6" ht="20.05" customHeight="1">
      <c r="B6" t="s" s="10">
        <v>5</v>
      </c>
      <c r="C6" s="13">
        <f>'Sales'!C32*(1+C5)</f>
        <v>787.8</v>
      </c>
      <c r="D6" s="14">
        <f>C6*(1+D5)</f>
        <v>827.1900000000001</v>
      </c>
      <c r="E6" s="14">
        <f>D6*(1+E5)</f>
        <v>868.5495</v>
      </c>
      <c r="F6" s="14">
        <f>E6*(1+F5)</f>
        <v>833.80752</v>
      </c>
    </row>
    <row r="7" ht="20.05" customHeight="1">
      <c r="B7" t="s" s="10">
        <v>6</v>
      </c>
      <c r="C7" s="15">
        <f>AVERAGE('Sales'!I32)</f>
        <v>-0.919893702515919</v>
      </c>
      <c r="D7" s="16">
        <f>C7</f>
        <v>-0.919893702515919</v>
      </c>
      <c r="E7" s="16">
        <f>D7</f>
        <v>-0.919893702515919</v>
      </c>
      <c r="F7" s="16">
        <f>E7</f>
        <v>-0.919893702515919</v>
      </c>
    </row>
    <row r="8" ht="20.05" customHeight="1">
      <c r="B8" t="s" s="10">
        <v>7</v>
      </c>
      <c r="C8" s="17">
        <f>C7*C6</f>
        <v>-724.692258842041</v>
      </c>
      <c r="D8" s="18">
        <f>D7*D6</f>
        <v>-760.926871784143</v>
      </c>
      <c r="E8" s="18">
        <f>E7*E6</f>
        <v>-798.9732153733499</v>
      </c>
      <c r="F8" s="18">
        <f>F7*F6</f>
        <v>-767.014286758416</v>
      </c>
    </row>
    <row r="9" ht="20.05" customHeight="1">
      <c r="B9" t="s" s="10">
        <v>8</v>
      </c>
      <c r="C9" s="17">
        <f>C6+C8</f>
        <v>63.107741157959</v>
      </c>
      <c r="D9" s="18">
        <f>D6+D8</f>
        <v>66.26312821585699</v>
      </c>
      <c r="E9" s="18">
        <f>E6+E8</f>
        <v>69.57628462664999</v>
      </c>
      <c r="F9" s="18">
        <f>F6+F8</f>
        <v>66.79323324158401</v>
      </c>
    </row>
    <row r="10" ht="20.05" customHeight="1">
      <c r="B10" t="s" s="10">
        <v>9</v>
      </c>
      <c r="C10" s="17">
        <f>AVERAGE('Cashflow'!E32)</f>
        <v>0.3</v>
      </c>
      <c r="D10" s="18">
        <f>C10</f>
        <v>0.3</v>
      </c>
      <c r="E10" s="18">
        <f>D10</f>
        <v>0.3</v>
      </c>
      <c r="F10" s="18">
        <f>E10</f>
        <v>0.3</v>
      </c>
    </row>
    <row r="11" ht="20.05" customHeight="1">
      <c r="B11" t="s" s="10">
        <v>10</v>
      </c>
      <c r="C11" s="17">
        <f>C12+C14+C16</f>
        <v>-63.407741157959</v>
      </c>
      <c r="D11" s="18">
        <f>D12+D14+D16</f>
        <v>-66.56312821585701</v>
      </c>
      <c r="E11" s="18">
        <f>E12+E14+E16</f>
        <v>-69.876284626650</v>
      </c>
      <c r="F11" s="18">
        <f>F12+F14+F16</f>
        <v>-67.093233241584</v>
      </c>
    </row>
    <row r="12" ht="20.05" customHeight="1">
      <c r="B12" t="s" s="10">
        <v>11</v>
      </c>
      <c r="C12" s="17">
        <f>-('Balance Sheet '!G28)/4</f>
        <v>-107</v>
      </c>
      <c r="D12" s="18">
        <f>-C27/4</f>
        <v>-80.25</v>
      </c>
      <c r="E12" s="18">
        <f>-D27/4</f>
        <v>-60.1875</v>
      </c>
      <c r="F12" s="18">
        <f>-E27/4</f>
        <v>-45.140625</v>
      </c>
    </row>
    <row r="13" ht="20.05" customHeight="1">
      <c r="B13" t="s" s="10">
        <v>12</v>
      </c>
      <c r="C13" s="19">
        <v>0.8</v>
      </c>
      <c r="D13" s="18"/>
      <c r="E13" s="18"/>
      <c r="F13" s="18"/>
    </row>
    <row r="14" ht="20.05" customHeight="1">
      <c r="B14" t="s" s="10">
        <v>13</v>
      </c>
      <c r="C14" s="17">
        <f>IF(C22&gt;0,-C22*$C$13,0)</f>
        <v>-38.6461929263672</v>
      </c>
      <c r="D14" s="18">
        <f>IF(D22&gt;0,-D22*$C$13,0)</f>
        <v>-41.1705025726856</v>
      </c>
      <c r="E14" s="18">
        <f>IF(E22&gt;0,-E22*$C$13,0)</f>
        <v>-43.821027701320</v>
      </c>
      <c r="F14" s="18">
        <f>IF(F22&gt;0,-F22*$C$13,0)</f>
        <v>-41.5945865932672</v>
      </c>
    </row>
    <row r="15" ht="20.05" customHeight="1">
      <c r="B15" t="s" s="10">
        <v>14</v>
      </c>
      <c r="C15" s="17">
        <f>C9+C10+C12+C14</f>
        <v>-82.2384517684082</v>
      </c>
      <c r="D15" s="18">
        <f>D9+D10+D12+D14</f>
        <v>-54.8573743568286</v>
      </c>
      <c r="E15" s="18">
        <f>E9+E10+E12+E14</f>
        <v>-34.132243074670</v>
      </c>
      <c r="F15" s="18">
        <f>F9+F10+F12+F14</f>
        <v>-19.6419783516832</v>
      </c>
    </row>
    <row r="16" ht="20.05" customHeight="1">
      <c r="B16" t="s" s="10">
        <v>15</v>
      </c>
      <c r="C16" s="17">
        <f>-MIN(0,C15)</f>
        <v>82.2384517684082</v>
      </c>
      <c r="D16" s="18">
        <f>-MIN(C28,D15)</f>
        <v>54.8573743568286</v>
      </c>
      <c r="E16" s="18">
        <f>-MIN(D28,E15)</f>
        <v>34.132243074670</v>
      </c>
      <c r="F16" s="18">
        <f>-MIN(E28,F15)</f>
        <v>19.6419783516832</v>
      </c>
    </row>
    <row r="17" ht="20.05" customHeight="1">
      <c r="B17" t="s" s="10">
        <v>16</v>
      </c>
      <c r="C17" s="17">
        <f>'Balance Sheet '!C28</f>
        <v>516</v>
      </c>
      <c r="D17" s="18">
        <f>C19</f>
        <v>516</v>
      </c>
      <c r="E17" s="18">
        <f>D19</f>
        <v>516</v>
      </c>
      <c r="F17" s="18">
        <f>E19</f>
        <v>516</v>
      </c>
    </row>
    <row r="18" ht="20.05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05" customHeight="1">
      <c r="B19" t="s" s="10">
        <v>18</v>
      </c>
      <c r="C19" s="17">
        <f>C17+C18</f>
        <v>516</v>
      </c>
      <c r="D19" s="18">
        <f>D17+D18</f>
        <v>516</v>
      </c>
      <c r="E19" s="18">
        <f>E17+E18</f>
        <v>516</v>
      </c>
      <c r="F19" s="18">
        <f>F17+F18</f>
        <v>516</v>
      </c>
    </row>
    <row r="20" ht="20.05" customHeight="1">
      <c r="B20" t="s" s="20">
        <v>19</v>
      </c>
      <c r="C20" s="17"/>
      <c r="D20" s="18"/>
      <c r="E20" s="18"/>
      <c r="F20" s="21"/>
    </row>
    <row r="21" ht="20.05" customHeight="1">
      <c r="B21" t="s" s="10">
        <v>20</v>
      </c>
      <c r="C21" s="17">
        <f>-AVERAGE('Sales'!E32)</f>
        <v>-14.8</v>
      </c>
      <c r="D21" s="18">
        <f>C21</f>
        <v>-14.8</v>
      </c>
      <c r="E21" s="18">
        <f>D21</f>
        <v>-14.8</v>
      </c>
      <c r="F21" s="18">
        <f>E21</f>
        <v>-14.8</v>
      </c>
    </row>
    <row r="22" ht="20.05" customHeight="1">
      <c r="B22" t="s" s="10">
        <v>21</v>
      </c>
      <c r="C22" s="17">
        <f>C6+C8+C21</f>
        <v>48.307741157959</v>
      </c>
      <c r="D22" s="18">
        <f>D6+D8+D21</f>
        <v>51.463128215857</v>
      </c>
      <c r="E22" s="18">
        <f>E6+E8+E21</f>
        <v>54.776284626650</v>
      </c>
      <c r="F22" s="18">
        <f>F6+F8+F21</f>
        <v>51.993233241584</v>
      </c>
    </row>
    <row r="23" ht="20.05" customHeight="1">
      <c r="B23" t="s" s="20">
        <v>22</v>
      </c>
      <c r="C23" s="17"/>
      <c r="D23" s="18"/>
      <c r="E23" s="18"/>
      <c r="F23" s="18"/>
    </row>
    <row r="24" ht="20.05" customHeight="1">
      <c r="B24" t="s" s="10">
        <v>23</v>
      </c>
      <c r="C24" s="17">
        <f>'Balance Sheet '!E28+'Balance Sheet '!F28-C10</f>
        <v>1822.7</v>
      </c>
      <c r="D24" s="18">
        <f>C24-D10</f>
        <v>1822.4</v>
      </c>
      <c r="E24" s="18">
        <f>D24-E10</f>
        <v>1822.1</v>
      </c>
      <c r="F24" s="18">
        <f>E24-F10</f>
        <v>1821.8</v>
      </c>
    </row>
    <row r="25" ht="20.05" customHeight="1">
      <c r="B25" t="s" s="10">
        <v>24</v>
      </c>
      <c r="C25" s="17">
        <f>'Balance Sheet '!F28-C21</f>
        <v>569.8</v>
      </c>
      <c r="D25" s="18">
        <f>C25-D21</f>
        <v>584.6</v>
      </c>
      <c r="E25" s="18">
        <f>D25-E21</f>
        <v>599.4</v>
      </c>
      <c r="F25" s="18">
        <f>E25-F21</f>
        <v>614.2</v>
      </c>
    </row>
    <row r="26" ht="20.05" customHeight="1">
      <c r="B26" t="s" s="10">
        <v>25</v>
      </c>
      <c r="C26" s="17">
        <f>C24-C25</f>
        <v>1252.9</v>
      </c>
      <c r="D26" s="18">
        <f>D24-D25</f>
        <v>1237.8</v>
      </c>
      <c r="E26" s="18">
        <f>E24-E25</f>
        <v>1222.7</v>
      </c>
      <c r="F26" s="18">
        <f>F24-F25</f>
        <v>1207.6</v>
      </c>
    </row>
    <row r="27" ht="20.05" customHeight="1">
      <c r="B27" t="s" s="10">
        <v>11</v>
      </c>
      <c r="C27" s="17">
        <f>'Balance Sheet '!G28+C12</f>
        <v>321</v>
      </c>
      <c r="D27" s="18">
        <f>C27+D12</f>
        <v>240.75</v>
      </c>
      <c r="E27" s="18">
        <f>D27+E12</f>
        <v>180.5625</v>
      </c>
      <c r="F27" s="18">
        <f>E27+F12</f>
        <v>135.421875</v>
      </c>
    </row>
    <row r="28" ht="20.05" customHeight="1">
      <c r="B28" t="s" s="10">
        <v>15</v>
      </c>
      <c r="C28" s="17">
        <f>C16</f>
        <v>82.2384517684082</v>
      </c>
      <c r="D28" s="18">
        <f>C28+D16</f>
        <v>137.095826125237</v>
      </c>
      <c r="E28" s="18">
        <f>D28+E16</f>
        <v>171.228069199907</v>
      </c>
      <c r="F28" s="18">
        <f>E28+F16</f>
        <v>190.870047551590</v>
      </c>
    </row>
    <row r="29" ht="20.05" customHeight="1">
      <c r="B29" t="s" s="10">
        <v>13</v>
      </c>
      <c r="C29" s="17">
        <f>'Balance Sheet '!H28+C22+C14</f>
        <v>1365.661548231590</v>
      </c>
      <c r="D29" s="18">
        <f>C29+D22+D14</f>
        <v>1375.954173874760</v>
      </c>
      <c r="E29" s="18">
        <f>D29+E22+E14</f>
        <v>1386.909430800090</v>
      </c>
      <c r="F29" s="18">
        <f>E29+F22+F14</f>
        <v>1397.308077448410</v>
      </c>
    </row>
    <row r="30" ht="20.05" customHeight="1">
      <c r="B30" t="s" s="10">
        <v>26</v>
      </c>
      <c r="C30" s="17">
        <f>C27+C28+C29-C19-C26</f>
        <v>-1.8e-12</v>
      </c>
      <c r="D30" s="18">
        <f>D27+D28+D29-D19-D26</f>
        <v>-3e-12</v>
      </c>
      <c r="E30" s="18">
        <f>E27+E28+E29-E19-E26</f>
        <v>-3e-12</v>
      </c>
      <c r="F30" s="18">
        <f>F27+F28+F29-F19-F26</f>
        <v>0</v>
      </c>
    </row>
    <row r="31" ht="20.05" customHeight="1">
      <c r="B31" t="s" s="10">
        <v>27</v>
      </c>
      <c r="C31" s="17">
        <f>C19-C27-C28</f>
        <v>112.761548231592</v>
      </c>
      <c r="D31" s="18">
        <f>D19-D27-D28</f>
        <v>138.154173874763</v>
      </c>
      <c r="E31" s="18">
        <f>E19-E27-E28</f>
        <v>164.209430800093</v>
      </c>
      <c r="F31" s="18">
        <f>F19-F27-F28</f>
        <v>189.708077448410</v>
      </c>
    </row>
    <row r="32" ht="20.05" customHeight="1">
      <c r="B32" t="s" s="20">
        <v>28</v>
      </c>
      <c r="C32" s="17"/>
      <c r="D32" s="18"/>
      <c r="E32" s="18"/>
      <c r="F32" s="18"/>
    </row>
    <row r="33" ht="20.05" customHeight="1">
      <c r="B33" t="s" s="10">
        <v>29</v>
      </c>
      <c r="C33" s="17">
        <f>'Cashflow'!M32-C11</f>
        <v>468.907741157959</v>
      </c>
      <c r="D33" s="18">
        <f>C33-D11</f>
        <v>535.470869373816</v>
      </c>
      <c r="E33" s="18">
        <f>D33-E11</f>
        <v>605.347154000466</v>
      </c>
      <c r="F33" s="18">
        <f>E33-F11</f>
        <v>672.440387242050</v>
      </c>
    </row>
    <row r="34" ht="20.05" customHeight="1">
      <c r="B34" t="s" s="10">
        <v>30</v>
      </c>
      <c r="C34" s="17"/>
      <c r="D34" s="18"/>
      <c r="E34" s="18"/>
      <c r="F34" s="18">
        <v>1016337072128</v>
      </c>
    </row>
    <row r="35" ht="20.05" customHeight="1">
      <c r="B35" t="s" s="10">
        <v>30</v>
      </c>
      <c r="C35" s="17"/>
      <c r="D35" s="18"/>
      <c r="E35" s="18"/>
      <c r="F35" s="18">
        <f>F34/1000000000</f>
        <v>1016.337072128</v>
      </c>
    </row>
    <row r="36" ht="20.05" customHeight="1">
      <c r="B36" t="s" s="10">
        <v>31</v>
      </c>
      <c r="C36" s="17"/>
      <c r="D36" s="18"/>
      <c r="E36" s="18"/>
      <c r="F36" s="22">
        <f>F35/(F19+F26)</f>
        <v>0.589659475590624</v>
      </c>
    </row>
    <row r="37" ht="20.05" customHeight="1">
      <c r="B37" t="s" s="10">
        <v>32</v>
      </c>
      <c r="C37" s="17"/>
      <c r="D37" s="18"/>
      <c r="E37" s="18"/>
      <c r="F37" s="16">
        <f>-(C14+D14+E14+F14)/F35</f>
        <v>0.162576289230184</v>
      </c>
    </row>
    <row r="38" ht="20.05" customHeight="1">
      <c r="B38" t="s" s="10">
        <v>3</v>
      </c>
      <c r="C38" s="17"/>
      <c r="D38" s="18"/>
      <c r="E38" s="18"/>
      <c r="F38" s="18">
        <f>SUM(C9:F10)</f>
        <v>266.940387242050</v>
      </c>
    </row>
    <row r="39" ht="20.05" customHeight="1">
      <c r="B39" t="s" s="10">
        <v>33</v>
      </c>
      <c r="C39" s="17"/>
      <c r="D39" s="18"/>
      <c r="E39" s="18"/>
      <c r="F39" s="18">
        <f>'Balance Sheet '!E28/F38</f>
        <v>4.75012422474023</v>
      </c>
    </row>
    <row r="40" ht="20.05" customHeight="1">
      <c r="B40" t="s" s="10">
        <v>28</v>
      </c>
      <c r="C40" s="17"/>
      <c r="D40" s="18"/>
      <c r="E40" s="18"/>
      <c r="F40" s="18">
        <f>F35/F38</f>
        <v>3.80735595174824</v>
      </c>
    </row>
    <row r="41" ht="20.05" customHeight="1">
      <c r="B41" t="s" s="10">
        <v>34</v>
      </c>
      <c r="C41" s="17"/>
      <c r="D41" s="18"/>
      <c r="E41" s="18"/>
      <c r="F41" s="18">
        <v>9</v>
      </c>
    </row>
    <row r="42" ht="20.05" customHeight="1">
      <c r="B42" t="s" s="10">
        <v>35</v>
      </c>
      <c r="C42" s="17"/>
      <c r="D42" s="18"/>
      <c r="E42" s="18"/>
      <c r="F42" s="18">
        <f>F38*F41</f>
        <v>2402.463485178450</v>
      </c>
    </row>
    <row r="43" ht="20.05" customHeight="1">
      <c r="B43" t="s" s="10">
        <v>36</v>
      </c>
      <c r="C43" s="17"/>
      <c r="D43" s="18"/>
      <c r="E43" s="18"/>
      <c r="F43" s="18">
        <f>F35/F45</f>
        <v>2.09986998373554</v>
      </c>
    </row>
    <row r="44" ht="20.05" customHeight="1">
      <c r="B44" t="s" s="10">
        <v>37</v>
      </c>
      <c r="C44" s="17"/>
      <c r="D44" s="18"/>
      <c r="E44" s="18"/>
      <c r="F44" s="18">
        <f>F42/F43</f>
        <v>1144.101065202430</v>
      </c>
    </row>
    <row r="45" ht="20.05" customHeight="1">
      <c r="B45" t="s" s="10">
        <v>38</v>
      </c>
      <c r="C45" s="17"/>
      <c r="D45" s="18"/>
      <c r="E45" s="18"/>
      <c r="F45" s="18">
        <v>484</v>
      </c>
    </row>
    <row r="46" ht="20.05" customHeight="1">
      <c r="B46" t="s" s="10">
        <v>39</v>
      </c>
      <c r="C46" s="17"/>
      <c r="D46" s="18"/>
      <c r="E46" s="18"/>
      <c r="F46" s="16">
        <f>F44/F45-1</f>
        <v>1.36384517603808</v>
      </c>
    </row>
    <row r="47" ht="20.05" customHeight="1">
      <c r="B47" t="s" s="10">
        <v>40</v>
      </c>
      <c r="C47" s="17"/>
      <c r="D47" s="18"/>
      <c r="E47" s="18"/>
      <c r="F47" s="16">
        <f>'Sales'!C32/'Sales'!C28-1</f>
        <v>0.326387672911924</v>
      </c>
    </row>
    <row r="48" ht="20.05" customHeight="1">
      <c r="B48" t="s" s="10">
        <v>41</v>
      </c>
      <c r="C48" s="17"/>
      <c r="D48" s="18"/>
      <c r="E48" s="18"/>
      <c r="F48" s="16">
        <f>'Sales'!F35/'Sales'!E35-1</f>
        <v>-0.037193359249157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48438" style="23" customWidth="1"/>
    <col min="2" max="2" width="10.9609" style="23" customWidth="1"/>
    <col min="3" max="10" width="10.3672" style="23" customWidth="1"/>
    <col min="11" max="16384" width="16.3516" style="23" customWidth="1"/>
  </cols>
  <sheetData>
    <row r="1" ht="44.0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42</v>
      </c>
      <c r="C3" t="s" s="5">
        <v>43</v>
      </c>
      <c r="D3" t="s" s="5">
        <v>34</v>
      </c>
      <c r="E3" t="s" s="5">
        <v>24</v>
      </c>
      <c r="F3" t="s" s="5">
        <v>21</v>
      </c>
      <c r="G3" t="s" s="5">
        <v>44</v>
      </c>
      <c r="H3" t="s" s="5">
        <v>45</v>
      </c>
      <c r="I3" t="s" s="5">
        <v>45</v>
      </c>
      <c r="J3" t="s" s="5">
        <v>34</v>
      </c>
    </row>
    <row r="4" ht="20.25" customHeight="1">
      <c r="B4" s="24">
        <v>2015</v>
      </c>
      <c r="C4" s="25">
        <v>419.4</v>
      </c>
      <c r="D4" s="8"/>
      <c r="E4" s="26">
        <v>10</v>
      </c>
      <c r="F4" s="27">
        <v>35.2</v>
      </c>
      <c r="G4" s="9"/>
      <c r="H4" s="28">
        <f>(E4+F4-C4)/C4</f>
        <v>-0.892226990939437</v>
      </c>
      <c r="I4" s="28"/>
      <c r="J4" s="28"/>
    </row>
    <row r="5" ht="20.05" customHeight="1">
      <c r="B5" s="29"/>
      <c r="C5" s="30">
        <v>460</v>
      </c>
      <c r="D5" s="21"/>
      <c r="E5" s="14">
        <v>11</v>
      </c>
      <c r="F5" s="18">
        <f>57.6-F4</f>
        <v>22.4</v>
      </c>
      <c r="G5" s="16">
        <f>C5/C4-1</f>
        <v>0.0968049594659037</v>
      </c>
      <c r="H5" s="16">
        <f>(E5+F5-C5)/C5</f>
        <v>-0.927391304347826</v>
      </c>
      <c r="I5" s="16"/>
      <c r="J5" s="16"/>
    </row>
    <row r="6" ht="20.05" customHeight="1">
      <c r="B6" s="29"/>
      <c r="C6" s="30">
        <v>476</v>
      </c>
      <c r="D6" s="21"/>
      <c r="E6" s="14">
        <v>10</v>
      </c>
      <c r="F6" s="18">
        <f>91.4-SUM(F4:F5)</f>
        <v>33.8</v>
      </c>
      <c r="G6" s="16">
        <f>C6/C5-1</f>
        <v>0.0347826086956522</v>
      </c>
      <c r="H6" s="16">
        <f>(E6+F6-C6)/C6</f>
        <v>-0.907983193277311</v>
      </c>
      <c r="I6" s="16"/>
      <c r="J6" s="16"/>
    </row>
    <row r="7" ht="20.05" customHeight="1">
      <c r="B7" s="29"/>
      <c r="C7" s="30">
        <v>484</v>
      </c>
      <c r="D7" s="21"/>
      <c r="E7" s="14">
        <v>12</v>
      </c>
      <c r="F7" s="18">
        <f>131-SUM(F4:F6)</f>
        <v>39.6</v>
      </c>
      <c r="G7" s="16">
        <f>C7/C6-1</f>
        <v>0.0168067226890756</v>
      </c>
      <c r="H7" s="16">
        <f>(E7+F7-C7)/C7</f>
        <v>-0.893388429752066</v>
      </c>
      <c r="I7" s="21"/>
      <c r="J7" s="16"/>
    </row>
    <row r="8" ht="20.05" customHeight="1">
      <c r="B8" s="31">
        <v>2016</v>
      </c>
      <c r="C8" s="30">
        <v>440.9</v>
      </c>
      <c r="D8" s="21"/>
      <c r="E8" s="14">
        <v>13</v>
      </c>
      <c r="F8" s="18">
        <v>33.47</v>
      </c>
      <c r="G8" s="16">
        <f>C8/C7-1</f>
        <v>-0.08904958677685949</v>
      </c>
      <c r="H8" s="16">
        <f>(E8+F8-C8)/C8</f>
        <v>-0.894601950555682</v>
      </c>
      <c r="I8" s="21"/>
      <c r="J8" s="16"/>
    </row>
    <row r="9" ht="20.05" customHeight="1">
      <c r="B9" s="29"/>
      <c r="C9" s="30">
        <v>461.6</v>
      </c>
      <c r="D9" s="21"/>
      <c r="E9" s="14">
        <v>12</v>
      </c>
      <c r="F9" s="18">
        <f>60.8-F8</f>
        <v>27.33</v>
      </c>
      <c r="G9" s="16">
        <f>C9/C8-1</f>
        <v>0.0469494216375595</v>
      </c>
      <c r="H9" s="16">
        <f>(E9+F9-C9)/C9</f>
        <v>-0.914796360485269</v>
      </c>
      <c r="I9" s="21"/>
      <c r="J9" s="16"/>
    </row>
    <row r="10" ht="20.05" customHeight="1">
      <c r="B10" s="29"/>
      <c r="C10" s="30">
        <v>386.4</v>
      </c>
      <c r="D10" s="21"/>
      <c r="E10" s="14">
        <v>13</v>
      </c>
      <c r="F10" s="18">
        <f>79-SUM(F8:F9)</f>
        <v>18.2</v>
      </c>
      <c r="G10" s="16">
        <f>C10/C9-1</f>
        <v>-0.162911611785095</v>
      </c>
      <c r="H10" s="16">
        <f>(E10+F10-C10)/C10</f>
        <v>-0.919254658385093</v>
      </c>
      <c r="I10" s="21"/>
      <c r="J10" s="16"/>
    </row>
    <row r="11" ht="20.05" customHeight="1">
      <c r="B11" s="29"/>
      <c r="C11" s="30">
        <v>397.1</v>
      </c>
      <c r="D11" s="21"/>
      <c r="E11" s="14">
        <v>13</v>
      </c>
      <c r="F11" s="18">
        <f>106.2-SUM(F8:F10)</f>
        <v>27.2</v>
      </c>
      <c r="G11" s="16">
        <f>C11/C10-1</f>
        <v>0.0276915113871636</v>
      </c>
      <c r="H11" s="16">
        <f>(E11+F11-C11)/C11</f>
        <v>-0.898766053890708</v>
      </c>
      <c r="I11" s="21"/>
      <c r="J11" s="16"/>
    </row>
    <row r="12" ht="20.05" customHeight="1">
      <c r="B12" s="31">
        <v>2017</v>
      </c>
      <c r="C12" s="30">
        <v>405.8</v>
      </c>
      <c r="D12" s="21"/>
      <c r="E12" s="14">
        <v>13</v>
      </c>
      <c r="F12" s="18">
        <v>18.9</v>
      </c>
      <c r="G12" s="16">
        <f>C12/C11-1</f>
        <v>0.0219088390833543</v>
      </c>
      <c r="H12" s="16">
        <f>(E12+F12-C12)/C12</f>
        <v>-0.921389847215377</v>
      </c>
      <c r="I12" s="16">
        <f>AVERAGE(H9:H12)</f>
        <v>-0.913551729994112</v>
      </c>
      <c r="J12" s="16"/>
    </row>
    <row r="13" ht="20.05" customHeight="1">
      <c r="B13" s="29"/>
      <c r="C13" s="30">
        <v>355.1</v>
      </c>
      <c r="D13" s="21"/>
      <c r="E13" s="14">
        <v>12</v>
      </c>
      <c r="F13" s="18">
        <f>11.5-F12</f>
        <v>-7.4</v>
      </c>
      <c r="G13" s="16">
        <f>C13/C12-1</f>
        <v>-0.124938393297191</v>
      </c>
      <c r="H13" s="16">
        <f>(E13+F13-C13)/C13</f>
        <v>-0.987045902562658</v>
      </c>
      <c r="I13" s="16">
        <f>AVERAGE(H10:H13)</f>
        <v>-0.931614115513459</v>
      </c>
      <c r="J13" s="16"/>
    </row>
    <row r="14" ht="20.05" customHeight="1">
      <c r="B14" s="29"/>
      <c r="C14" s="30">
        <v>376.7</v>
      </c>
      <c r="D14" s="21"/>
      <c r="E14" s="14">
        <v>13</v>
      </c>
      <c r="F14" s="18">
        <f>26.6-SUM(F12:F13)</f>
        <v>15.1</v>
      </c>
      <c r="G14" s="16">
        <f>C14/C13-1</f>
        <v>0.0608279357927344</v>
      </c>
      <c r="H14" s="16">
        <f>(E14+F14-C14)/C14</f>
        <v>-0.925404831430847</v>
      </c>
      <c r="I14" s="16">
        <f>AVERAGE(H11:H14)</f>
        <v>-0.933151658774898</v>
      </c>
      <c r="J14" s="16"/>
    </row>
    <row r="15" ht="20.05" customHeight="1">
      <c r="B15" s="29"/>
      <c r="C15" s="30">
        <v>338.8</v>
      </c>
      <c r="D15" s="21"/>
      <c r="E15" s="14">
        <v>14</v>
      </c>
      <c r="F15" s="18">
        <f>40.5-SUM(F12:F14)</f>
        <v>13.9</v>
      </c>
      <c r="G15" s="16">
        <f>C15/C14-1</f>
        <v>-0.100610565436687</v>
      </c>
      <c r="H15" s="16">
        <f>(E15+F15-C15)/C15</f>
        <v>-0.917650531286895</v>
      </c>
      <c r="I15" s="16">
        <f>AVERAGE(H12:H15)</f>
        <v>-0.937872778123944</v>
      </c>
      <c r="J15" s="16"/>
    </row>
    <row r="16" ht="20.05" customHeight="1">
      <c r="B16" s="31">
        <v>2018</v>
      </c>
      <c r="C16" s="30">
        <v>339.8</v>
      </c>
      <c r="D16" s="21"/>
      <c r="E16" s="14">
        <v>13</v>
      </c>
      <c r="F16" s="18">
        <v>10.4</v>
      </c>
      <c r="G16" s="16">
        <f>C16/C15-1</f>
        <v>0.00295159386068477</v>
      </c>
      <c r="H16" s="16">
        <f>(E16+F16-C16)/C16</f>
        <v>-0.931135962330783</v>
      </c>
      <c r="I16" s="16">
        <f>AVERAGE(H13:H16)</f>
        <v>-0.940309306902796</v>
      </c>
      <c r="J16" s="16"/>
    </row>
    <row r="17" ht="20.05" customHeight="1">
      <c r="B17" s="29"/>
      <c r="C17" s="30">
        <v>340</v>
      </c>
      <c r="D17" s="21"/>
      <c r="E17" s="14">
        <v>14</v>
      </c>
      <c r="F17" s="18">
        <f>18.5-F16</f>
        <v>8.1</v>
      </c>
      <c r="G17" s="16">
        <f>C17/C16-1</f>
        <v>0.000588581518540318</v>
      </c>
      <c r="H17" s="16">
        <f>(E17+F17-C17)/C17</f>
        <v>-0.9350000000000001</v>
      </c>
      <c r="I17" s="16">
        <f>AVERAGE(H14:H17)</f>
        <v>-0.9272978312621309</v>
      </c>
      <c r="J17" s="16"/>
    </row>
    <row r="18" ht="20.05" customHeight="1">
      <c r="B18" s="29"/>
      <c r="C18" s="30">
        <v>365</v>
      </c>
      <c r="D18" s="21"/>
      <c r="E18" s="14">
        <v>14</v>
      </c>
      <c r="F18" s="18">
        <f>31.3-SUM(F16:F17)</f>
        <v>12.8</v>
      </c>
      <c r="G18" s="16">
        <f>C18/C17-1</f>
        <v>0.0735294117647059</v>
      </c>
      <c r="H18" s="16">
        <f>(E18+F18-C18)/C18</f>
        <v>-0.926575342465753</v>
      </c>
      <c r="I18" s="16">
        <f>AVERAGE(H15:H18)</f>
        <v>-0.927590459020858</v>
      </c>
      <c r="J18" s="16"/>
    </row>
    <row r="19" ht="20.05" customHeight="1">
      <c r="B19" s="29"/>
      <c r="C19" s="30">
        <v>360.5</v>
      </c>
      <c r="D19" s="21"/>
      <c r="E19" s="14">
        <v>15</v>
      </c>
      <c r="F19" s="18">
        <f>51-SUM(F16:F18)</f>
        <v>19.7</v>
      </c>
      <c r="G19" s="16">
        <f>C19/C18-1</f>
        <v>-0.0123287671232877</v>
      </c>
      <c r="H19" s="16">
        <f>(E19+F19-C19)/C19</f>
        <v>-0.90374479889043</v>
      </c>
      <c r="I19" s="16">
        <f>AVERAGE(H16:H19)</f>
        <v>-0.924114025921742</v>
      </c>
      <c r="J19" s="16"/>
    </row>
    <row r="20" ht="20.05" customHeight="1">
      <c r="B20" s="31">
        <v>2019</v>
      </c>
      <c r="C20" s="30">
        <v>312.9</v>
      </c>
      <c r="D20" s="21"/>
      <c r="E20" s="14">
        <v>15</v>
      </c>
      <c r="F20" s="18">
        <v>5.2</v>
      </c>
      <c r="G20" s="16">
        <f>C20/C19-1</f>
        <v>-0.132038834951456</v>
      </c>
      <c r="H20" s="16">
        <f>(E20+F20-C20)/C20</f>
        <v>-0.935442633429211</v>
      </c>
      <c r="I20" s="16">
        <f>AVERAGE(H17:H20)</f>
        <v>-0.925190693696349</v>
      </c>
      <c r="J20" s="16"/>
    </row>
    <row r="21" ht="20.05" customHeight="1">
      <c r="B21" s="29"/>
      <c r="C21" s="30">
        <v>335.9</v>
      </c>
      <c r="D21" s="21"/>
      <c r="E21" s="14">
        <v>15</v>
      </c>
      <c r="F21" s="18">
        <f>8.58-F20</f>
        <v>3.38</v>
      </c>
      <c r="G21" s="16">
        <f>C21/C20-1</f>
        <v>0.0735059124320869</v>
      </c>
      <c r="H21" s="16">
        <f>(E21+F21-C21)/C21</f>
        <v>-0.945281333730277</v>
      </c>
      <c r="I21" s="16">
        <f>AVERAGE(H18:H21)</f>
        <v>-0.9277610271289179</v>
      </c>
      <c r="J21" s="16"/>
    </row>
    <row r="22" ht="20.05" customHeight="1">
      <c r="B22" s="29"/>
      <c r="C22" s="30">
        <v>358.4</v>
      </c>
      <c r="D22" s="21"/>
      <c r="E22" s="14">
        <v>16</v>
      </c>
      <c r="F22" s="18">
        <f>15.4-SUM(F20:F21)</f>
        <v>6.82</v>
      </c>
      <c r="G22" s="16">
        <f>C22/C21-1</f>
        <v>0.0669842214944924</v>
      </c>
      <c r="H22" s="16">
        <f>(E22+F22-C22)/C22</f>
        <v>-0.936328125</v>
      </c>
      <c r="I22" s="16">
        <f>AVERAGE(H19:H22)</f>
        <v>-0.93019922276248</v>
      </c>
      <c r="J22" s="16"/>
    </row>
    <row r="23" ht="20.05" customHeight="1">
      <c r="B23" s="29"/>
      <c r="C23" s="30">
        <v>386.3</v>
      </c>
      <c r="D23" s="21"/>
      <c r="E23" s="14">
        <v>15</v>
      </c>
      <c r="F23" s="18">
        <f>27.3-SUM(F20:F22)</f>
        <v>11.9</v>
      </c>
      <c r="G23" s="16">
        <f>C23/C22-1</f>
        <v>0.0778459821428571</v>
      </c>
      <c r="H23" s="16">
        <f>(E23+F23-C23)/C23</f>
        <v>-0.930365001294331</v>
      </c>
      <c r="I23" s="16">
        <f>AVERAGE(H20:H23)</f>
        <v>-0.9368542733634549</v>
      </c>
      <c r="J23" s="16"/>
    </row>
    <row r="24" ht="20.05" customHeight="1">
      <c r="B24" s="31">
        <v>2020</v>
      </c>
      <c r="C24" s="30">
        <v>374.8</v>
      </c>
      <c r="D24" s="21"/>
      <c r="E24" s="14">
        <v>16</v>
      </c>
      <c r="F24" s="18">
        <v>14.3</v>
      </c>
      <c r="G24" s="16">
        <f>C24/C23-1</f>
        <v>-0.029769609112089</v>
      </c>
      <c r="H24" s="16">
        <f>(E24+F24-C24)/C24</f>
        <v>-0.919156883671291</v>
      </c>
      <c r="I24" s="16">
        <f>AVERAGE(H21:H24)</f>
        <v>-0.932782835923975</v>
      </c>
      <c r="J24" s="16"/>
    </row>
    <row r="25" ht="20.05" customHeight="1">
      <c r="B25" s="29"/>
      <c r="C25" s="30">
        <v>454.4</v>
      </c>
      <c r="D25" s="21"/>
      <c r="E25" s="14">
        <v>15</v>
      </c>
      <c r="F25" s="18">
        <f>43.6-F24</f>
        <v>29.3</v>
      </c>
      <c r="G25" s="16">
        <f>C25/C24-1</f>
        <v>0.212379935965848</v>
      </c>
      <c r="H25" s="16">
        <f>(E25+F25-C25)/C25</f>
        <v>-0.902508802816901</v>
      </c>
      <c r="I25" s="16">
        <f>AVERAGE(H22:H25)</f>
        <v>-0.922089703195631</v>
      </c>
      <c r="J25" s="16"/>
    </row>
    <row r="26" ht="20.05" customHeight="1">
      <c r="B26" s="29"/>
      <c r="C26" s="30">
        <f>1391-C25-C24</f>
        <v>561.8</v>
      </c>
      <c r="D26" s="14">
        <v>445.312</v>
      </c>
      <c r="E26" s="14">
        <v>15</v>
      </c>
      <c r="F26" s="18">
        <v>65.40000000000001</v>
      </c>
      <c r="G26" s="16">
        <f>C26/C25-1</f>
        <v>0.236355633802817</v>
      </c>
      <c r="H26" s="16">
        <f>(E26+F26-C26)/C26</f>
        <v>-0.85688857244571</v>
      </c>
      <c r="I26" s="16">
        <f>AVERAGE(H23:H26)</f>
        <v>-0.902229815057058</v>
      </c>
      <c r="J26" s="16"/>
    </row>
    <row r="27" ht="20.05" customHeight="1">
      <c r="B27" s="29"/>
      <c r="C27" s="30">
        <f>1994.1-SUM(C24:C26)</f>
        <v>603.1</v>
      </c>
      <c r="D27" s="14">
        <v>595.508</v>
      </c>
      <c r="E27" s="14">
        <f>64.1-SUM(E24:E26)</f>
        <v>18.1</v>
      </c>
      <c r="F27" s="18">
        <f>172.5-SUM(F24:F26)</f>
        <v>63.5</v>
      </c>
      <c r="G27" s="16">
        <f>C27/C26-1</f>
        <v>0.0735137059451762</v>
      </c>
      <c r="H27" s="16">
        <f>(E27+F27-C27)/C27</f>
        <v>-0.8646990548831039</v>
      </c>
      <c r="I27" s="16">
        <f>AVERAGE(H24:H27)</f>
        <v>-0.885813328454252</v>
      </c>
      <c r="J27" s="16"/>
    </row>
    <row r="28" ht="20.05" customHeight="1">
      <c r="B28" s="31">
        <v>2021</v>
      </c>
      <c r="C28" s="17">
        <v>571.1</v>
      </c>
      <c r="D28" s="14">
        <v>605.366</v>
      </c>
      <c r="E28" s="14">
        <v>14.5</v>
      </c>
      <c r="F28" s="18">
        <v>38.6</v>
      </c>
      <c r="G28" s="16">
        <f>C28/C27-1</f>
        <v>-0.0530591941634886</v>
      </c>
      <c r="H28" s="16">
        <f>(E28+F28-C28)/C28</f>
        <v>-0.907021537383996</v>
      </c>
      <c r="I28" s="16">
        <f>AVERAGE(H25:H28)</f>
        <v>-0.882779491882428</v>
      </c>
      <c r="J28" s="16"/>
    </row>
    <row r="29" ht="20.05" customHeight="1">
      <c r="B29" s="29"/>
      <c r="C29" s="17">
        <v>605.9</v>
      </c>
      <c r="D29" s="14">
        <v>605.366</v>
      </c>
      <c r="E29" s="32">
        <v>15</v>
      </c>
      <c r="F29" s="33">
        <v>24.4</v>
      </c>
      <c r="G29" s="16">
        <f>C29/C28-1</f>
        <v>0.0609350376466468</v>
      </c>
      <c r="H29" s="16">
        <f>(E29+F29-C29)/C29</f>
        <v>-0.9349727677834631</v>
      </c>
      <c r="I29" s="16">
        <f>AVERAGE(H26:H29)</f>
        <v>-0.890895483124068</v>
      </c>
      <c r="J29" s="16"/>
    </row>
    <row r="30" ht="20.05" customHeight="1">
      <c r="B30" s="29"/>
      <c r="C30" s="17">
        <f>1907.6-SUM(C28:C29)</f>
        <v>730.6</v>
      </c>
      <c r="D30" s="14">
        <v>648.313</v>
      </c>
      <c r="E30" s="14">
        <f>43.5-SUM(E28:E29)</f>
        <v>14</v>
      </c>
      <c r="F30" s="33">
        <f>108.9-SUM(F28:F29)</f>
        <v>45.9</v>
      </c>
      <c r="G30" s="16">
        <f>C30/C29-1</f>
        <v>0.205809539527975</v>
      </c>
      <c r="H30" s="16">
        <f>(E30+F30-C30)/C30</f>
        <v>-0.918012592389817</v>
      </c>
      <c r="I30" s="16">
        <f>AVERAGE(H27:H30)</f>
        <v>-0.906176488110095</v>
      </c>
      <c r="J30" s="16"/>
    </row>
    <row r="31" ht="20.05" customHeight="1">
      <c r="B31" s="29"/>
      <c r="C31" s="17">
        <f>2733.7-SUM(C28:C30)</f>
        <v>826.1</v>
      </c>
      <c r="D31" s="14">
        <v>781.742</v>
      </c>
      <c r="E31" s="14">
        <f>61.5-SUM(E28:E30)</f>
        <v>18</v>
      </c>
      <c r="F31" s="18">
        <f>176.9-SUM(F28:F30)</f>
        <v>68</v>
      </c>
      <c r="G31" s="16">
        <f>C31/C30-1</f>
        <v>0.130714481248289</v>
      </c>
      <c r="H31" s="16">
        <f>(E31+F31-C31)/C31</f>
        <v>-0.895896380583464</v>
      </c>
      <c r="I31" s="16">
        <f>AVERAGE(H28:H31)</f>
        <v>-0.913975819535185</v>
      </c>
      <c r="J31" s="16"/>
    </row>
    <row r="32" ht="20.05" customHeight="1">
      <c r="B32" s="31">
        <v>2022</v>
      </c>
      <c r="C32" s="34">
        <v>757.5</v>
      </c>
      <c r="D32" s="14">
        <v>801.317</v>
      </c>
      <c r="E32" s="14">
        <v>14.8</v>
      </c>
      <c r="F32" s="18">
        <v>37.7</v>
      </c>
      <c r="G32" s="16">
        <f>C32/C31-1</f>
        <v>-0.0830407940927249</v>
      </c>
      <c r="H32" s="16">
        <f>(E32+F32-C32)/C32</f>
        <v>-0.930693069306931</v>
      </c>
      <c r="I32" s="16">
        <f>AVERAGE(H29:H32)</f>
        <v>-0.919893702515919</v>
      </c>
      <c r="J32" s="16">
        <v>-0.913975819535185</v>
      </c>
    </row>
    <row r="33" ht="20.05" customHeight="1">
      <c r="B33" s="29"/>
      <c r="C33" s="35"/>
      <c r="D33" s="14">
        <f>'Model'!C6</f>
        <v>787.8</v>
      </c>
      <c r="E33" s="14"/>
      <c r="F33" s="18"/>
      <c r="G33" s="12"/>
      <c r="H33" s="21"/>
      <c r="I33" s="16"/>
      <c r="J33" s="16">
        <f>'Model'!C7</f>
        <v>-0.919893702515919</v>
      </c>
    </row>
    <row r="34" ht="20.05" customHeight="1">
      <c r="B34" s="29"/>
      <c r="C34" s="35"/>
      <c r="D34" s="14">
        <f>'Model'!D6</f>
        <v>827.1900000000001</v>
      </c>
      <c r="E34" s="14"/>
      <c r="F34" s="18"/>
      <c r="G34" s="12"/>
      <c r="H34" s="12"/>
      <c r="I34" s="16"/>
      <c r="J34" s="16"/>
    </row>
    <row r="35" ht="20.05" customHeight="1">
      <c r="B35" s="29"/>
      <c r="C35" s="35"/>
      <c r="D35" s="14">
        <f>'Model'!E6</f>
        <v>868.5495</v>
      </c>
      <c r="E35" s="14">
        <f>SUM(C26:C32)</f>
        <v>4656.1</v>
      </c>
      <c r="F35" s="14">
        <f>SUM(D26:D32)</f>
        <v>4482.924</v>
      </c>
      <c r="G35" s="12"/>
      <c r="H35" s="12"/>
      <c r="I35" s="16"/>
      <c r="J35" s="16"/>
    </row>
    <row r="36" ht="20.05" customHeight="1">
      <c r="B36" s="31">
        <v>2023</v>
      </c>
      <c r="C36" s="35"/>
      <c r="D36" s="32">
        <f>'Model'!F6</f>
        <v>833.80752</v>
      </c>
      <c r="E36" s="32"/>
      <c r="F36" s="18"/>
      <c r="G36" s="12"/>
      <c r="H36" s="12"/>
      <c r="I36" s="16"/>
      <c r="J36" s="16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9062" style="36" customWidth="1"/>
    <col min="2" max="2" width="11.625" style="36" customWidth="1"/>
    <col min="3" max="4" width="11.0078" style="36" customWidth="1"/>
    <col min="5" max="5" width="12.5078" style="36" customWidth="1"/>
    <col min="6" max="15" width="11.0078" style="36" customWidth="1"/>
    <col min="16" max="16384" width="16.3516" style="36" customWidth="1"/>
  </cols>
  <sheetData>
    <row r="1" ht="24.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42</v>
      </c>
      <c r="C3" t="s" s="5">
        <v>46</v>
      </c>
      <c r="D3" t="s" s="5">
        <v>47</v>
      </c>
      <c r="E3" t="s" s="5">
        <v>48</v>
      </c>
      <c r="F3" t="s" s="5">
        <v>49</v>
      </c>
      <c r="G3" t="s" s="5">
        <v>50</v>
      </c>
      <c r="H3" t="s" s="5">
        <v>13</v>
      </c>
      <c r="I3" t="s" s="5">
        <v>10</v>
      </c>
      <c r="J3" t="s" s="5">
        <v>51</v>
      </c>
      <c r="K3" t="s" s="5">
        <v>3</v>
      </c>
      <c r="L3" t="s" s="5">
        <v>34</v>
      </c>
      <c r="M3" t="s" s="5">
        <v>29</v>
      </c>
      <c r="N3" t="s" s="5">
        <v>34</v>
      </c>
      <c r="O3" s="37"/>
    </row>
    <row r="4" ht="20.25" customHeight="1">
      <c r="B4" s="24">
        <v>2015</v>
      </c>
      <c r="C4" s="38">
        <v>443.23</v>
      </c>
      <c r="D4" s="27">
        <v>39</v>
      </c>
      <c r="E4" s="27">
        <v>-10.48</v>
      </c>
      <c r="F4" s="39"/>
      <c r="G4" s="27"/>
      <c r="H4" s="27"/>
      <c r="I4" s="27">
        <v>-70.90000000000001</v>
      </c>
      <c r="J4" s="27">
        <f>D4+E4</f>
        <v>28.52</v>
      </c>
      <c r="K4" s="39"/>
      <c r="L4" s="27"/>
      <c r="M4" s="27">
        <f>-I4</f>
        <v>70.90000000000001</v>
      </c>
      <c r="N4" s="27"/>
      <c r="O4" s="27">
        <v>1</v>
      </c>
    </row>
    <row r="5" ht="20.05" customHeight="1">
      <c r="B5" s="29"/>
      <c r="C5" s="17">
        <f>895.6-C4</f>
        <v>452.37</v>
      </c>
      <c r="D5" s="18">
        <f>196-D4</f>
        <v>157</v>
      </c>
      <c r="E5" s="18">
        <f>-31.8-E4</f>
        <v>-21.32</v>
      </c>
      <c r="F5" s="32"/>
      <c r="G5" s="18"/>
      <c r="H5" s="18"/>
      <c r="I5" s="18">
        <f>-142.4-I4</f>
        <v>-71.5</v>
      </c>
      <c r="J5" s="18">
        <f>D5+E5</f>
        <v>135.68</v>
      </c>
      <c r="K5" s="32"/>
      <c r="L5" s="18"/>
      <c r="M5" s="18">
        <f>-I5+M4</f>
        <v>142.4</v>
      </c>
      <c r="N5" s="18"/>
      <c r="O5" s="18">
        <f>1+O4</f>
        <v>2</v>
      </c>
    </row>
    <row r="6" ht="20.05" customHeight="1">
      <c r="B6" s="29"/>
      <c r="C6" s="17">
        <f>1372.6-SUM(C4:C5)</f>
        <v>477</v>
      </c>
      <c r="D6" s="18">
        <f>153.7-SUM(D4:D5)</f>
        <v>-42.3</v>
      </c>
      <c r="E6" s="18">
        <f>-37.5-SUM(E4:E5)</f>
        <v>-5.7</v>
      </c>
      <c r="F6" s="32"/>
      <c r="G6" s="18"/>
      <c r="H6" s="18"/>
      <c r="I6" s="18">
        <f>-111-SUM(I4:I5)</f>
        <v>31.4</v>
      </c>
      <c r="J6" s="18">
        <f>D6+E6</f>
        <v>-48</v>
      </c>
      <c r="K6" s="32"/>
      <c r="L6" s="18"/>
      <c r="M6" s="18">
        <f>-I6+M5</f>
        <v>111</v>
      </c>
      <c r="N6" s="18"/>
      <c r="O6" s="18">
        <f>1+O5</f>
        <v>3</v>
      </c>
    </row>
    <row r="7" ht="20.05" customHeight="1">
      <c r="B7" s="29"/>
      <c r="C7" s="17">
        <f>1849.4-SUM(C4:C6)</f>
        <v>476.8</v>
      </c>
      <c r="D7" s="18">
        <f>62.8-SUM(D4:D6)</f>
        <v>-90.90000000000001</v>
      </c>
      <c r="E7" s="18">
        <f>-64.9-SUM(E4:E6)</f>
        <v>-27.4</v>
      </c>
      <c r="F7" s="32"/>
      <c r="G7" s="18"/>
      <c r="H7" s="18"/>
      <c r="I7" s="18">
        <f>21.5-SUM(I4:I6)</f>
        <v>132.5</v>
      </c>
      <c r="J7" s="18">
        <f>D7+E7</f>
        <v>-118.3</v>
      </c>
      <c r="K7" s="32"/>
      <c r="L7" s="18"/>
      <c r="M7" s="18">
        <f>-I7+M6</f>
        <v>-21.5</v>
      </c>
      <c r="N7" s="18"/>
      <c r="O7" s="18">
        <f>1+O6</f>
        <v>4</v>
      </c>
    </row>
    <row r="8" ht="20.05" customHeight="1">
      <c r="B8" s="31">
        <v>2016</v>
      </c>
      <c r="C8" s="17">
        <v>446.03</v>
      </c>
      <c r="D8" s="18">
        <v>182</v>
      </c>
      <c r="E8" s="18">
        <v>-8</v>
      </c>
      <c r="F8" s="32"/>
      <c r="G8" s="18"/>
      <c r="H8" s="18"/>
      <c r="I8" s="18">
        <v>-207.9</v>
      </c>
      <c r="J8" s="18">
        <f>D8+E8</f>
        <v>174</v>
      </c>
      <c r="K8" s="18">
        <f>AVERAGE(J5:J8)</f>
        <v>35.845</v>
      </c>
      <c r="L8" s="18"/>
      <c r="M8" s="18">
        <f>-I8+M7</f>
        <v>186.4</v>
      </c>
      <c r="N8" s="18"/>
      <c r="O8" s="18">
        <f>1+O7</f>
        <v>5</v>
      </c>
    </row>
    <row r="9" ht="20.05" customHeight="1">
      <c r="B9" s="29"/>
      <c r="C9" s="17">
        <f>890.7-SUM(C8)</f>
        <v>444.67</v>
      </c>
      <c r="D9" s="18">
        <f>163.3-D8</f>
        <v>-18.7</v>
      </c>
      <c r="E9" s="18">
        <f>-17.7-E8</f>
        <v>-9.699999999999999</v>
      </c>
      <c r="F9" s="32"/>
      <c r="G9" s="18"/>
      <c r="H9" s="18"/>
      <c r="I9" s="18">
        <f>-206.8-I8</f>
        <v>1.1</v>
      </c>
      <c r="J9" s="18">
        <f>D9+E9</f>
        <v>-28.4</v>
      </c>
      <c r="K9" s="18">
        <f>AVERAGE(J6:J9)</f>
        <v>-5.175</v>
      </c>
      <c r="L9" s="18"/>
      <c r="M9" s="18">
        <f>-I9+M8</f>
        <v>185.3</v>
      </c>
      <c r="N9" s="18"/>
      <c r="O9" s="18">
        <f>1+O8</f>
        <v>6</v>
      </c>
    </row>
    <row r="10" ht="20.05" customHeight="1">
      <c r="B10" s="29"/>
      <c r="C10" s="17">
        <f>1296-SUM(C8:C9)</f>
        <v>405.3</v>
      </c>
      <c r="D10" s="18">
        <f>212-SUM(D8:D9)</f>
        <v>48.7</v>
      </c>
      <c r="E10" s="18">
        <f>-28.8-SUM(E8:E9)</f>
        <v>-11.1</v>
      </c>
      <c r="F10" s="32"/>
      <c r="G10" s="18"/>
      <c r="H10" s="18"/>
      <c r="I10" s="18">
        <f>-237-SUM(I8:I9)</f>
        <v>-30.2</v>
      </c>
      <c r="J10" s="18">
        <f>D10+E10</f>
        <v>37.6</v>
      </c>
      <c r="K10" s="18">
        <f>AVERAGE(J7:J10)</f>
        <v>16.225</v>
      </c>
      <c r="L10" s="18"/>
      <c r="M10" s="18">
        <f>-I10+M9</f>
        <v>215.5</v>
      </c>
      <c r="N10" s="18"/>
      <c r="O10" s="18">
        <f>1+O9</f>
        <v>7</v>
      </c>
    </row>
    <row r="11" ht="20.05" customHeight="1">
      <c r="B11" s="29"/>
      <c r="C11" s="17">
        <f>1684.5-SUM(C8:C10)</f>
        <v>388.5</v>
      </c>
      <c r="D11" s="18">
        <f>136.7-SUM(D8:D10)</f>
        <v>-75.3</v>
      </c>
      <c r="E11" s="18">
        <f>-45.9-SUM(E8:E10)</f>
        <v>-17.1</v>
      </c>
      <c r="F11" s="32"/>
      <c r="G11" s="18"/>
      <c r="H11" s="18"/>
      <c r="I11" s="18">
        <f>-124-SUM(I8:I10)</f>
        <v>113</v>
      </c>
      <c r="J11" s="18">
        <f>D11+E11</f>
        <v>-92.40000000000001</v>
      </c>
      <c r="K11" s="18">
        <f>AVERAGE(J8:J11)</f>
        <v>22.7</v>
      </c>
      <c r="L11" s="18"/>
      <c r="M11" s="18">
        <f>-I11+M10</f>
        <v>102.5</v>
      </c>
      <c r="N11" s="18"/>
      <c r="O11" s="18">
        <f>1+O10</f>
        <v>8</v>
      </c>
    </row>
    <row r="12" ht="20.05" customHeight="1">
      <c r="B12" s="31">
        <v>2017</v>
      </c>
      <c r="C12" s="17">
        <v>416.4</v>
      </c>
      <c r="D12" s="18">
        <v>189</v>
      </c>
      <c r="E12" s="18">
        <v>-12</v>
      </c>
      <c r="F12" s="32"/>
      <c r="G12" s="18"/>
      <c r="H12" s="18"/>
      <c r="I12" s="18">
        <v>-169</v>
      </c>
      <c r="J12" s="18">
        <f>D12+E12</f>
        <v>177</v>
      </c>
      <c r="K12" s="18">
        <f>AVERAGE(J9:J12)</f>
        <v>23.45</v>
      </c>
      <c r="L12" s="18"/>
      <c r="M12" s="18">
        <f>-I12+M11</f>
        <v>271.5</v>
      </c>
      <c r="N12" s="18"/>
      <c r="O12" s="18">
        <f>1+O11</f>
        <v>9</v>
      </c>
    </row>
    <row r="13" ht="20.05" customHeight="1">
      <c r="B13" s="29"/>
      <c r="C13" s="17">
        <f>765.6-C12</f>
        <v>349.2</v>
      </c>
      <c r="D13" s="18">
        <f>-167.7-D12</f>
        <v>-356.7</v>
      </c>
      <c r="E13" s="18">
        <f>-19-E12</f>
        <v>-7</v>
      </c>
      <c r="F13" s="32"/>
      <c r="G13" s="18"/>
      <c r="H13" s="18"/>
      <c r="I13" s="18">
        <f>-139-I12</f>
        <v>30</v>
      </c>
      <c r="J13" s="18">
        <f>D13+E13</f>
        <v>-363.7</v>
      </c>
      <c r="K13" s="18">
        <f>AVERAGE(J10:J13)</f>
        <v>-60.375</v>
      </c>
      <c r="L13" s="18"/>
      <c r="M13" s="18">
        <f>-I13+M12</f>
        <v>241.5</v>
      </c>
      <c r="N13" s="18"/>
      <c r="O13" s="18">
        <f>1+O12</f>
        <v>10</v>
      </c>
    </row>
    <row r="14" ht="20.05" customHeight="1">
      <c r="B14" s="29"/>
      <c r="C14" s="17">
        <f>1152.8-SUM(C12:C13)</f>
        <v>387.2</v>
      </c>
      <c r="D14" s="18">
        <f>263.6-SUM(D12:D13)</f>
        <v>431.3</v>
      </c>
      <c r="E14" s="18">
        <f>-23.2-SUM(E12:E13)</f>
        <v>-4.2</v>
      </c>
      <c r="F14" s="32"/>
      <c r="G14" s="18"/>
      <c r="H14" s="18"/>
      <c r="I14" s="18">
        <f>-224-SUM(I12:I13)</f>
        <v>-85</v>
      </c>
      <c r="J14" s="18">
        <f>D14+E14</f>
        <v>427.1</v>
      </c>
      <c r="K14" s="18">
        <f>AVERAGE(J11:J14)</f>
        <v>37</v>
      </c>
      <c r="L14" s="18"/>
      <c r="M14" s="18">
        <f>-I14+M13</f>
        <v>326.5</v>
      </c>
      <c r="N14" s="18"/>
      <c r="O14" s="18">
        <f>1+O13</f>
        <v>11</v>
      </c>
    </row>
    <row r="15" ht="20.05" customHeight="1">
      <c r="B15" s="29"/>
      <c r="C15" s="17">
        <f>1482.8-SUM(C12:C14)</f>
        <v>330</v>
      </c>
      <c r="D15" s="18">
        <f>194.5-SUM(D12:D14)</f>
        <v>-69.09999999999999</v>
      </c>
      <c r="E15" s="18">
        <f>-28.9-SUM(E12:E14)</f>
        <v>-5.7</v>
      </c>
      <c r="F15" s="32"/>
      <c r="G15" s="18"/>
      <c r="H15" s="18"/>
      <c r="I15" s="18">
        <f>-169.9-SUM(I12:I14)</f>
        <v>54.1</v>
      </c>
      <c r="J15" s="18">
        <f>D15+E15</f>
        <v>-74.8</v>
      </c>
      <c r="K15" s="18">
        <f>AVERAGE(J12:J15)</f>
        <v>41.4</v>
      </c>
      <c r="L15" s="18"/>
      <c r="M15" s="18">
        <f>-I15+M14</f>
        <v>272.4</v>
      </c>
      <c r="N15" s="18"/>
      <c r="O15" s="18">
        <f>1+O14</f>
        <v>12</v>
      </c>
    </row>
    <row r="16" ht="20.05" customHeight="1">
      <c r="B16" s="31">
        <v>2018</v>
      </c>
      <c r="C16" s="17">
        <v>339.8</v>
      </c>
      <c r="D16" s="18">
        <v>83.3</v>
      </c>
      <c r="E16" s="18">
        <v>-7</v>
      </c>
      <c r="F16" s="32"/>
      <c r="G16" s="18"/>
      <c r="H16" s="18"/>
      <c r="I16" s="18">
        <v>-67</v>
      </c>
      <c r="J16" s="18">
        <f>D16+E16</f>
        <v>76.3</v>
      </c>
      <c r="K16" s="18">
        <f>AVERAGE(J13:J16)</f>
        <v>16.225</v>
      </c>
      <c r="L16" s="18"/>
      <c r="M16" s="18">
        <f>-I16+M15</f>
        <v>339.4</v>
      </c>
      <c r="N16" s="18"/>
      <c r="O16" s="18">
        <f>1+O15</f>
        <v>13</v>
      </c>
    </row>
    <row r="17" ht="20.05" customHeight="1">
      <c r="B17" s="29"/>
      <c r="C17" s="17">
        <f>691.5-C16</f>
        <v>351.7</v>
      </c>
      <c r="D17" s="18">
        <f>85.4-D16</f>
        <v>2.1</v>
      </c>
      <c r="E17" s="18">
        <f>-26.7-E16</f>
        <v>-19.7</v>
      </c>
      <c r="F17" s="32"/>
      <c r="G17" s="18"/>
      <c r="H17" s="18"/>
      <c r="I17" s="18">
        <f>-58.5-I16</f>
        <v>8.5</v>
      </c>
      <c r="J17" s="18">
        <f>D17+E17</f>
        <v>-17.6</v>
      </c>
      <c r="K17" s="18">
        <f>AVERAGE(J13:J17)</f>
        <v>9.460000000000001</v>
      </c>
      <c r="L17" s="18"/>
      <c r="M17" s="18">
        <f>-I17+M16</f>
        <v>330.9</v>
      </c>
      <c r="N17" s="18"/>
      <c r="O17" s="18">
        <f>1+O16</f>
        <v>14</v>
      </c>
    </row>
    <row r="18" ht="20.05" customHeight="1">
      <c r="B18" s="29"/>
      <c r="C18" s="17">
        <f>1041.7-SUM(C16:C17)</f>
        <v>350.2</v>
      </c>
      <c r="D18" s="18">
        <f>174.9-SUM(D16:D17)</f>
        <v>89.5</v>
      </c>
      <c r="E18" s="18">
        <f>-56.8-SUM(E16:E17)</f>
        <v>-30.1</v>
      </c>
      <c r="F18" s="32"/>
      <c r="G18" s="18"/>
      <c r="H18" s="18"/>
      <c r="I18" s="18">
        <f>-65-SUM(I16:I17)</f>
        <v>-6.5</v>
      </c>
      <c r="J18" s="18">
        <f>D18+E18</f>
        <v>59.4</v>
      </c>
      <c r="K18" s="18">
        <f>AVERAGE(J15:J18)</f>
        <v>10.825</v>
      </c>
      <c r="L18" s="18"/>
      <c r="M18" s="18">
        <f>-I18+M17</f>
        <v>337.4</v>
      </c>
      <c r="N18" s="18"/>
      <c r="O18" s="18">
        <f>1+O17</f>
        <v>15</v>
      </c>
    </row>
    <row r="19" ht="20.05" customHeight="1">
      <c r="B19" s="29"/>
      <c r="C19" s="17">
        <f>1400.9+11-SUM(C16:C18)</f>
        <v>370.2</v>
      </c>
      <c r="D19" s="18">
        <f>140.9-SUM(D16:D18)</f>
        <v>-34</v>
      </c>
      <c r="E19" s="18">
        <f>-53.9-SUM(E16:E18)</f>
        <v>2.9</v>
      </c>
      <c r="F19" s="32"/>
      <c r="G19" s="18"/>
      <c r="H19" s="18"/>
      <c r="I19" s="18">
        <f>-54-SUM(I16:I18)</f>
        <v>11</v>
      </c>
      <c r="J19" s="18">
        <f>D19+E19</f>
        <v>-31.1</v>
      </c>
      <c r="K19" s="18">
        <f>AVERAGE(J16:J19)</f>
        <v>21.75</v>
      </c>
      <c r="L19" s="18"/>
      <c r="M19" s="18">
        <f>-I19+M18</f>
        <v>326.4</v>
      </c>
      <c r="N19" s="18"/>
      <c r="O19" s="18">
        <f>1+O18</f>
        <v>16</v>
      </c>
    </row>
    <row r="20" ht="20.05" customHeight="1">
      <c r="B20" s="31">
        <v>2019</v>
      </c>
      <c r="C20" s="17">
        <v>327.9</v>
      </c>
      <c r="D20" s="18">
        <v>33</v>
      </c>
      <c r="E20" s="18">
        <v>-21.4</v>
      </c>
      <c r="F20" s="32"/>
      <c r="G20" s="18"/>
      <c r="H20" s="18"/>
      <c r="I20" s="18">
        <v>57</v>
      </c>
      <c r="J20" s="18">
        <f>D20+E20</f>
        <v>11.6</v>
      </c>
      <c r="K20" s="18">
        <f>AVERAGE(J17:J20)</f>
        <v>5.575</v>
      </c>
      <c r="L20" s="18"/>
      <c r="M20" s="18">
        <f>-I20+M19</f>
        <v>269.4</v>
      </c>
      <c r="N20" s="18"/>
      <c r="O20" s="18">
        <f>1+O19</f>
        <v>17</v>
      </c>
    </row>
    <row r="21" ht="20.05" customHeight="1">
      <c r="B21" s="29"/>
      <c r="C21" s="17">
        <f>664.5+20.6-C20</f>
        <v>357.2</v>
      </c>
      <c r="D21" s="18">
        <f>94.5-D20</f>
        <v>61.5</v>
      </c>
      <c r="E21" s="18">
        <f>-44.3-E20</f>
        <v>-22.9</v>
      </c>
      <c r="F21" s="32"/>
      <c r="G21" s="18"/>
      <c r="H21" s="18"/>
      <c r="I21" s="18">
        <f>42-I20</f>
        <v>-15</v>
      </c>
      <c r="J21" s="18">
        <f>D21+E21</f>
        <v>38.6</v>
      </c>
      <c r="K21" s="18">
        <f>AVERAGE(J18:J21)</f>
        <v>19.625</v>
      </c>
      <c r="L21" s="18"/>
      <c r="M21" s="18">
        <f>-I21+M20</f>
        <v>284.4</v>
      </c>
      <c r="N21" s="18"/>
      <c r="O21" s="18">
        <f>1+O20</f>
        <v>18</v>
      </c>
    </row>
    <row r="22" ht="20.05" customHeight="1">
      <c r="B22" s="29"/>
      <c r="C22" s="17">
        <f>1019.4-SUM(C20:C21)</f>
        <v>334.3</v>
      </c>
      <c r="D22" s="18">
        <f>166.5-SUM(D20:D21)</f>
        <v>72</v>
      </c>
      <c r="E22" s="18">
        <f>-52.7-SUM(E20:E21)</f>
        <v>-8.4</v>
      </c>
      <c r="F22" s="32"/>
      <c r="G22" s="18"/>
      <c r="H22" s="18"/>
      <c r="I22" s="18">
        <f>30-SUM(I20:I21)</f>
        <v>-12</v>
      </c>
      <c r="J22" s="18">
        <f>D22+E22</f>
        <v>63.6</v>
      </c>
      <c r="K22" s="18">
        <f>AVERAGE(J19:J22)</f>
        <v>20.675</v>
      </c>
      <c r="L22" s="18"/>
      <c r="M22" s="18">
        <f>-I22+M21</f>
        <v>296.4</v>
      </c>
      <c r="N22" s="18"/>
      <c r="O22" s="18">
        <f>1+O21</f>
        <v>19</v>
      </c>
    </row>
    <row r="23" ht="20.05" customHeight="1">
      <c r="B23" s="29"/>
      <c r="C23" s="17">
        <f>1391.6+20.6-SUM(C20:C22)</f>
        <v>392.8</v>
      </c>
      <c r="D23" s="18">
        <f>199-SUM(D20:D22)</f>
        <v>32.5</v>
      </c>
      <c r="E23" s="18">
        <f>-54-SUM(E20:E22)</f>
        <v>-1.3</v>
      </c>
      <c r="F23" s="32"/>
      <c r="G23" s="18"/>
      <c r="H23" s="18"/>
      <c r="I23" s="18">
        <f>32.7-SUM(I20:I22)</f>
        <v>2.7</v>
      </c>
      <c r="J23" s="18">
        <f>D23+E23</f>
        <v>31.2</v>
      </c>
      <c r="K23" s="18">
        <f>AVERAGE(J20:J23)</f>
        <v>36.25</v>
      </c>
      <c r="L23" s="18"/>
      <c r="M23" s="18">
        <f>-I23+M22</f>
        <v>293.7</v>
      </c>
      <c r="N23" s="18"/>
      <c r="O23" s="18">
        <f>1+O22</f>
        <v>20</v>
      </c>
    </row>
    <row r="24" ht="20.05" customHeight="1">
      <c r="B24" s="31">
        <v>2020</v>
      </c>
      <c r="C24" s="17">
        <f>384.5</f>
        <v>384.5</v>
      </c>
      <c r="D24" s="18">
        <v>80.59999999999999</v>
      </c>
      <c r="E24" s="18">
        <v>6</v>
      </c>
      <c r="F24" s="32">
        <v>0</v>
      </c>
      <c r="G24" s="18">
        <f>I24-H24-F24</f>
        <v>-1</v>
      </c>
      <c r="H24" s="18">
        <v>0</v>
      </c>
      <c r="I24" s="18">
        <v>-1</v>
      </c>
      <c r="J24" s="18">
        <f>D24+E24</f>
        <v>86.59999999999999</v>
      </c>
      <c r="K24" s="18">
        <f>AVERAGE(J21:J24)</f>
        <v>55</v>
      </c>
      <c r="L24" s="18"/>
      <c r="M24" s="18">
        <f>-I24+M23</f>
        <v>294.7</v>
      </c>
      <c r="N24" s="18"/>
      <c r="O24" s="18">
        <f>1+O23</f>
        <v>21</v>
      </c>
    </row>
    <row r="25" ht="20.05" customHeight="1">
      <c r="B25" s="29"/>
      <c r="C25" s="17">
        <f>834.2+4.9-C24</f>
        <v>454.6</v>
      </c>
      <c r="D25" s="18">
        <f>122.9-D24</f>
        <v>42.3</v>
      </c>
      <c r="E25" s="18">
        <f>6.3-E24</f>
        <v>0.3</v>
      </c>
      <c r="F25" s="32">
        <v>0</v>
      </c>
      <c r="G25" s="18">
        <f>I25-H25-F25</f>
        <v>-4.4</v>
      </c>
      <c r="H25" s="18">
        <v>0</v>
      </c>
      <c r="I25" s="18">
        <f>-5.4-I24</f>
        <v>-4.4</v>
      </c>
      <c r="J25" s="18">
        <f>D25+E25</f>
        <v>42.6</v>
      </c>
      <c r="K25" s="18">
        <f>AVERAGE(J22:J25)</f>
        <v>56</v>
      </c>
      <c r="L25" s="18"/>
      <c r="M25" s="18">
        <f>-I25+M24</f>
        <v>299.1</v>
      </c>
      <c r="N25" s="18"/>
      <c r="O25" s="18">
        <f>1+O24</f>
        <v>22</v>
      </c>
    </row>
    <row r="26" ht="20.05" customHeight="1">
      <c r="B26" s="29"/>
      <c r="C26" s="17">
        <v>550.9</v>
      </c>
      <c r="D26" s="18">
        <v>95.09999999999999</v>
      </c>
      <c r="E26" s="18">
        <v>-4.3</v>
      </c>
      <c r="F26" s="32">
        <v>0</v>
      </c>
      <c r="G26" s="18">
        <f>I26-H26-F26</f>
        <v>-31.2</v>
      </c>
      <c r="H26" s="18">
        <f>-7.4-SUM(H24:H25)</f>
        <v>-7.4</v>
      </c>
      <c r="I26" s="18">
        <v>-38.6</v>
      </c>
      <c r="J26" s="18">
        <f>D26+E26</f>
        <v>90.8</v>
      </c>
      <c r="K26" s="18">
        <f>AVERAGE(J23:J26)</f>
        <v>62.8</v>
      </c>
      <c r="L26" s="18"/>
      <c r="M26" s="18">
        <f>-I26+M25</f>
        <v>337.7</v>
      </c>
      <c r="N26" s="18"/>
      <c r="O26" s="18">
        <f>1+O25</f>
        <v>23</v>
      </c>
    </row>
    <row r="27" ht="20.05" customHeight="1">
      <c r="B27" s="29"/>
      <c r="C27" s="17">
        <f>1964.4-SUM(C24:C26)</f>
        <v>574.4</v>
      </c>
      <c r="D27" s="18">
        <f>215.6-SUM(D24:D26)</f>
        <v>-2.4</v>
      </c>
      <c r="E27" s="18">
        <f>2.7-SUM(E24:E26)</f>
        <v>0.7</v>
      </c>
      <c r="F27" s="18">
        <f>-3.9-SUM(F24:F26)</f>
        <v>-3.9</v>
      </c>
      <c r="G27" s="18">
        <f>I27-H27-F27</f>
        <v>-5.9</v>
      </c>
      <c r="H27" s="18">
        <f>-7.4-SUM(H24:H26)</f>
        <v>0</v>
      </c>
      <c r="I27" s="18">
        <f>-53.8-SUM(I24:I26)</f>
        <v>-9.800000000000001</v>
      </c>
      <c r="J27" s="18">
        <f>D27+E27</f>
        <v>-1.7</v>
      </c>
      <c r="K27" s="18">
        <f>AVERAGE(J24:J27)</f>
        <v>54.575</v>
      </c>
      <c r="L27" s="18"/>
      <c r="M27" s="18">
        <f>-I27+M26</f>
        <v>347.5</v>
      </c>
      <c r="N27" s="18"/>
      <c r="O27" s="18">
        <f>1+O26</f>
        <v>24</v>
      </c>
    </row>
    <row r="28" ht="20.05" customHeight="1">
      <c r="B28" s="31">
        <v>2021</v>
      </c>
      <c r="C28" s="17">
        <v>592.9</v>
      </c>
      <c r="D28" s="18">
        <v>7.4</v>
      </c>
      <c r="E28" s="18">
        <v>2.4</v>
      </c>
      <c r="F28" s="18">
        <v>-2</v>
      </c>
      <c r="G28" s="18">
        <f>I28-H28-F28</f>
        <v>-5.9</v>
      </c>
      <c r="H28" s="18">
        <v>0</v>
      </c>
      <c r="I28" s="18">
        <f>-7.9</f>
        <v>-7.9</v>
      </c>
      <c r="J28" s="18">
        <f>D28+E28</f>
        <v>9.800000000000001</v>
      </c>
      <c r="K28" s="18">
        <f>AVERAGE(J25:J28)</f>
        <v>35.375</v>
      </c>
      <c r="L28" s="18"/>
      <c r="M28" s="18">
        <f>-(I28-F28)+M27</f>
        <v>353.4</v>
      </c>
      <c r="N28" s="18"/>
      <c r="O28" s="18">
        <f>1+O27</f>
        <v>25</v>
      </c>
    </row>
    <row r="29" ht="20.05" customHeight="1">
      <c r="B29" s="29"/>
      <c r="C29" s="34">
        <v>614.1</v>
      </c>
      <c r="D29" s="33">
        <v>102.6</v>
      </c>
      <c r="E29" s="33">
        <v>-5.4</v>
      </c>
      <c r="F29" s="32">
        <v>-2</v>
      </c>
      <c r="G29" s="18">
        <f>I29-H29-F29</f>
        <v>0.9</v>
      </c>
      <c r="H29" s="33">
        <v>0</v>
      </c>
      <c r="I29" s="33">
        <v>-1.1</v>
      </c>
      <c r="J29" s="18">
        <f>D29+E29</f>
        <v>97.2</v>
      </c>
      <c r="K29" s="18">
        <f>AVERAGE(J26:J29)</f>
        <v>49.025</v>
      </c>
      <c r="L29" s="18"/>
      <c r="M29" s="18">
        <f>-(I29-F29)+M28</f>
        <v>352.5</v>
      </c>
      <c r="N29" s="18"/>
      <c r="O29" s="18">
        <f>1+O28</f>
        <v>26</v>
      </c>
    </row>
    <row r="30" ht="20.05" customHeight="1">
      <c r="B30" s="29"/>
      <c r="C30" s="17">
        <f>1929.9-SUM(C28:C29)</f>
        <v>722.9</v>
      </c>
      <c r="D30" s="18">
        <f>146.1-SUM(D28:D29)</f>
        <v>36.1</v>
      </c>
      <c r="E30" s="18">
        <f>-17.6-SUM(E28:E29)</f>
        <v>-14.6</v>
      </c>
      <c r="F30" s="18">
        <f>-4.1-SUM(F28:F29)</f>
        <v>-0.1</v>
      </c>
      <c r="G30" s="18">
        <f>I30-H30-F30</f>
        <v>-9.9</v>
      </c>
      <c r="H30" s="18">
        <f>-43.1-SUM(H28:H29)</f>
        <v>-43.1</v>
      </c>
      <c r="I30" s="18">
        <f>-62.1-SUM(I28:I29)</f>
        <v>-53.1</v>
      </c>
      <c r="J30" s="18">
        <f>D30+E30</f>
        <v>21.5</v>
      </c>
      <c r="K30" s="18">
        <f>AVERAGE(J27:J30)</f>
        <v>31.7</v>
      </c>
      <c r="L30" s="18"/>
      <c r="M30" s="18">
        <f>-(I30-F30)+M29</f>
        <v>405.5</v>
      </c>
      <c r="N30" s="18"/>
      <c r="O30" s="18">
        <f>1+O29</f>
        <v>27</v>
      </c>
    </row>
    <row r="31" ht="20.05" customHeight="1">
      <c r="B31" s="29"/>
      <c r="C31" s="17">
        <f>2731.9-SUM(C28:C30)</f>
        <v>802</v>
      </c>
      <c r="D31" s="18">
        <f>181.2-SUM(D28:D30)</f>
        <v>35.1</v>
      </c>
      <c r="E31" s="18">
        <f>-26.6-SUM(E28:E30)</f>
        <v>-9</v>
      </c>
      <c r="F31" s="18">
        <f>-4.1-SUM(F28:F30)</f>
        <v>0</v>
      </c>
      <c r="G31" s="18">
        <f>I31-H31-F31</f>
        <v>0</v>
      </c>
      <c r="H31" s="18">
        <f>-0.1-43-SUM(H28:H30)</f>
        <v>0</v>
      </c>
      <c r="I31" s="18">
        <f>-62.1-SUM(I28:I30)</f>
        <v>0</v>
      </c>
      <c r="J31" s="18">
        <f>D31+E31</f>
        <v>26.1</v>
      </c>
      <c r="K31" s="18">
        <f>AVERAGE(J28:J31)</f>
        <v>38.65</v>
      </c>
      <c r="L31" s="18"/>
      <c r="M31" s="18">
        <f>-(I31-F31)+M30</f>
        <v>405.5</v>
      </c>
      <c r="N31" s="18"/>
      <c r="O31" s="18">
        <f>1+O30</f>
        <v>28</v>
      </c>
    </row>
    <row r="32" ht="20.05" customHeight="1">
      <c r="B32" s="31">
        <v>2022</v>
      </c>
      <c r="C32" s="17">
        <v>764.6</v>
      </c>
      <c r="D32" s="18">
        <v>-2.2</v>
      </c>
      <c r="E32" s="18">
        <v>0.3</v>
      </c>
      <c r="F32" s="18">
        <v>-4.4</v>
      </c>
      <c r="G32" s="18">
        <f>I32-H32-F32</f>
        <v>0</v>
      </c>
      <c r="H32" s="18">
        <v>0</v>
      </c>
      <c r="I32" s="18">
        <v>-4.4</v>
      </c>
      <c r="J32" s="18">
        <f>D32+E32</f>
        <v>-1.9</v>
      </c>
      <c r="K32" s="18">
        <f>AVERAGE(J29:J32)</f>
        <v>35.725</v>
      </c>
      <c r="L32" s="18">
        <v>70.038162980213</v>
      </c>
      <c r="M32" s="18">
        <f>-(I32-F32)+M31</f>
        <v>405.5</v>
      </c>
      <c r="N32" s="18">
        <v>664.435185877498</v>
      </c>
      <c r="O32" s="18">
        <f>1+O31</f>
        <v>29</v>
      </c>
    </row>
    <row r="33" ht="20.05" customHeight="1">
      <c r="B33" s="29"/>
      <c r="C33" s="17"/>
      <c r="D33" s="18"/>
      <c r="E33" s="18"/>
      <c r="F33" s="18"/>
      <c r="G33" s="18"/>
      <c r="H33" s="18"/>
      <c r="I33" s="18"/>
      <c r="J33" s="18"/>
      <c r="K33" s="21"/>
      <c r="L33" s="18">
        <f>'Model'!F9+'Model'!F10</f>
        <v>67.093233241584</v>
      </c>
      <c r="M33" s="21"/>
      <c r="N33" s="18">
        <f>'Model'!F33</f>
        <v>672.440387242050</v>
      </c>
      <c r="O33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21875" style="40" customWidth="1"/>
    <col min="2" max="2" width="8.49219" style="40" customWidth="1"/>
    <col min="3" max="11" width="9.625" style="40" customWidth="1"/>
    <col min="12" max="16384" width="16.3516" style="40" customWidth="1"/>
  </cols>
  <sheetData>
    <row r="1" ht="33.6" customHeight="1"/>
    <row r="2" ht="27.65" customHeight="1">
      <c r="B2" t="s" s="2">
        <v>52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52</v>
      </c>
      <c r="E3" t="s" s="5">
        <v>23</v>
      </c>
      <c r="F3" t="s" s="5">
        <v>24</v>
      </c>
      <c r="G3" t="s" s="5">
        <v>11</v>
      </c>
      <c r="H3" t="s" s="5">
        <v>54</v>
      </c>
      <c r="I3" t="s" s="5">
        <v>55</v>
      </c>
      <c r="J3" t="s" s="5">
        <v>56</v>
      </c>
      <c r="K3" t="s" s="5">
        <v>34</v>
      </c>
    </row>
    <row r="4" ht="20.25" customHeight="1">
      <c r="B4" s="24">
        <v>2016</v>
      </c>
      <c r="C4" s="38">
        <v>58</v>
      </c>
      <c r="D4" s="27">
        <v>1301</v>
      </c>
      <c r="E4" s="27">
        <f>D4-C4</f>
        <v>1243</v>
      </c>
      <c r="F4" s="27">
        <v>254</v>
      </c>
      <c r="G4" s="27">
        <v>323</v>
      </c>
      <c r="H4" s="27">
        <v>978</v>
      </c>
      <c r="I4" s="27">
        <f>G4+H4-C4-E4</f>
        <v>0</v>
      </c>
      <c r="J4" s="27">
        <f>C4-G4</f>
        <v>-265</v>
      </c>
      <c r="K4" s="39"/>
    </row>
    <row r="5" ht="20.05" customHeight="1">
      <c r="B5" s="29"/>
      <c r="C5" s="17">
        <v>44</v>
      </c>
      <c r="D5" s="18">
        <v>1363</v>
      </c>
      <c r="E5" s="18">
        <f>D5-C5</f>
        <v>1319</v>
      </c>
      <c r="F5" s="18">
        <v>266</v>
      </c>
      <c r="G5" s="18">
        <v>413</v>
      </c>
      <c r="H5" s="18">
        <v>950</v>
      </c>
      <c r="I5" s="18">
        <f>G5+H5-C5-E5</f>
        <v>0</v>
      </c>
      <c r="J5" s="18">
        <f>C5-G5</f>
        <v>-369</v>
      </c>
      <c r="K5" s="32"/>
    </row>
    <row r="6" ht="20.05" customHeight="1">
      <c r="B6" s="29"/>
      <c r="C6" s="17">
        <v>40</v>
      </c>
      <c r="D6" s="18">
        <v>1285</v>
      </c>
      <c r="E6" s="18">
        <f>D6-C6</f>
        <v>1245</v>
      </c>
      <c r="F6" s="18">
        <v>276</v>
      </c>
      <c r="G6" s="18">
        <v>319</v>
      </c>
      <c r="H6" s="18">
        <v>966</v>
      </c>
      <c r="I6" s="18">
        <f>G6+H6-C6-E6</f>
        <v>0</v>
      </c>
      <c r="J6" s="18">
        <f>C6-G6</f>
        <v>-279</v>
      </c>
      <c r="K6" s="32"/>
    </row>
    <row r="7" ht="20.05" customHeight="1">
      <c r="B7" s="29"/>
      <c r="C7" s="17">
        <v>61</v>
      </c>
      <c r="D7" s="18">
        <v>1354</v>
      </c>
      <c r="E7" s="18">
        <f>D7-C7</f>
        <v>1293</v>
      </c>
      <c r="F7" s="18">
        <v>288</v>
      </c>
      <c r="G7" s="18">
        <v>363</v>
      </c>
      <c r="H7" s="18">
        <v>991</v>
      </c>
      <c r="I7" s="18">
        <f>G7+H7-C7-E7</f>
        <v>0</v>
      </c>
      <c r="J7" s="18">
        <f>C7-G7</f>
        <v>-302</v>
      </c>
      <c r="K7" s="32"/>
    </row>
    <row r="8" ht="20.05" customHeight="1">
      <c r="B8" s="31">
        <v>2017</v>
      </c>
      <c r="C8" s="17">
        <v>66</v>
      </c>
      <c r="D8" s="18">
        <v>1324</v>
      </c>
      <c r="E8" s="18">
        <f>D8-C8</f>
        <v>1258</v>
      </c>
      <c r="F8" s="18">
        <v>298</v>
      </c>
      <c r="G8" s="18">
        <v>315</v>
      </c>
      <c r="H8" s="18">
        <v>1009</v>
      </c>
      <c r="I8" s="18">
        <f>G8+H8-C8-E8</f>
        <v>0</v>
      </c>
      <c r="J8" s="18">
        <f>C8-G8</f>
        <v>-249</v>
      </c>
      <c r="K8" s="32"/>
    </row>
    <row r="9" ht="20.05" customHeight="1">
      <c r="B9" s="29"/>
      <c r="C9" s="17">
        <v>68</v>
      </c>
      <c r="D9" s="18">
        <v>1301</v>
      </c>
      <c r="E9" s="18">
        <f>D9-C9</f>
        <v>1233</v>
      </c>
      <c r="F9" s="18">
        <v>309</v>
      </c>
      <c r="G9" s="18">
        <v>332</v>
      </c>
      <c r="H9" s="18">
        <v>969</v>
      </c>
      <c r="I9" s="18">
        <f>G9+H9-C9-E9</f>
        <v>0</v>
      </c>
      <c r="J9" s="18">
        <f>C9-G9</f>
        <v>-264</v>
      </c>
      <c r="K9" s="32"/>
    </row>
    <row r="10" ht="20.05" customHeight="1">
      <c r="B10" s="29"/>
      <c r="C10" s="17">
        <v>74</v>
      </c>
      <c r="D10" s="18">
        <v>1248</v>
      </c>
      <c r="E10" s="18">
        <f>D10-C10</f>
        <v>1174</v>
      </c>
      <c r="F10" s="18">
        <v>321</v>
      </c>
      <c r="G10" s="18">
        <v>265</v>
      </c>
      <c r="H10" s="18">
        <v>983</v>
      </c>
      <c r="I10" s="18">
        <f>G10+H10-C10-E10</f>
        <v>0</v>
      </c>
      <c r="J10" s="18">
        <f>C10-G10</f>
        <v>-191</v>
      </c>
      <c r="K10" s="32"/>
    </row>
    <row r="11" ht="20.05" customHeight="1">
      <c r="B11" s="29"/>
      <c r="C11" s="17">
        <v>58</v>
      </c>
      <c r="D11" s="18">
        <v>1226</v>
      </c>
      <c r="E11" s="18">
        <f>D11-C11</f>
        <v>1168</v>
      </c>
      <c r="F11" s="18">
        <v>332</v>
      </c>
      <c r="G11" s="18">
        <v>248</v>
      </c>
      <c r="H11" s="18">
        <v>978</v>
      </c>
      <c r="I11" s="18">
        <f>G11+H11-C11-E11</f>
        <v>0</v>
      </c>
      <c r="J11" s="18">
        <f>C11-G11</f>
        <v>-190</v>
      </c>
      <c r="K11" s="32"/>
    </row>
    <row r="12" ht="20.05" customHeight="1">
      <c r="B12" s="31">
        <v>2018</v>
      </c>
      <c r="C12" s="17">
        <v>63</v>
      </c>
      <c r="D12" s="18">
        <v>1245</v>
      </c>
      <c r="E12" s="18">
        <f>D12-C12</f>
        <v>1182</v>
      </c>
      <c r="F12" s="18">
        <v>345</v>
      </c>
      <c r="G12" s="18">
        <v>263</v>
      </c>
      <c r="H12" s="18">
        <v>982</v>
      </c>
      <c r="I12" s="18">
        <f>G12+H12-C12-E12</f>
        <v>0</v>
      </c>
      <c r="J12" s="18">
        <f>C12-G12</f>
        <v>-200</v>
      </c>
      <c r="K12" s="32"/>
    </row>
    <row r="13" ht="20.05" customHeight="1">
      <c r="B13" s="29"/>
      <c r="C13" s="17">
        <v>54</v>
      </c>
      <c r="D13" s="18">
        <v>1233</v>
      </c>
      <c r="E13" s="18">
        <f>D13-C13</f>
        <v>1179</v>
      </c>
      <c r="F13" s="18">
        <v>355</v>
      </c>
      <c r="G13" s="18">
        <v>250</v>
      </c>
      <c r="H13" s="18">
        <v>983</v>
      </c>
      <c r="I13" s="18">
        <f>G13+H13-C13-E13</f>
        <v>0</v>
      </c>
      <c r="J13" s="18">
        <f>C13-G13</f>
        <v>-196</v>
      </c>
      <c r="K13" s="32"/>
    </row>
    <row r="14" ht="20.05" customHeight="1">
      <c r="B14" s="29"/>
      <c r="C14" s="17">
        <v>107</v>
      </c>
      <c r="D14" s="18">
        <v>1274</v>
      </c>
      <c r="E14" s="18">
        <f>D14-C14</f>
        <v>1167</v>
      </c>
      <c r="F14" s="18">
        <v>366</v>
      </c>
      <c r="G14" s="18">
        <v>284</v>
      </c>
      <c r="H14" s="18">
        <v>990</v>
      </c>
      <c r="I14" s="18">
        <f>G14+H14-C14-E14</f>
        <v>0</v>
      </c>
      <c r="J14" s="18">
        <f>C14-G14</f>
        <v>-177</v>
      </c>
      <c r="K14" s="32"/>
    </row>
    <row r="15" ht="20.05" customHeight="1">
      <c r="B15" s="29"/>
      <c r="C15" s="17">
        <v>87</v>
      </c>
      <c r="D15" s="18">
        <v>1255</v>
      </c>
      <c r="E15" s="18">
        <f>D15-C15</f>
        <v>1168</v>
      </c>
      <c r="F15" s="18">
        <v>379</v>
      </c>
      <c r="G15" s="18">
        <v>250</v>
      </c>
      <c r="H15" s="18">
        <v>1005</v>
      </c>
      <c r="I15" s="18">
        <f>G15+H15-C15-E15</f>
        <v>0</v>
      </c>
      <c r="J15" s="18">
        <f>C15-G15</f>
        <v>-163</v>
      </c>
      <c r="K15" s="32"/>
    </row>
    <row r="16" ht="20.05" customHeight="1">
      <c r="B16" s="31">
        <v>2019</v>
      </c>
      <c r="C16" s="17">
        <v>156</v>
      </c>
      <c r="D16" s="18">
        <v>1316</v>
      </c>
      <c r="E16" s="18">
        <f>D16-C16</f>
        <v>1160</v>
      </c>
      <c r="F16" s="18">
        <v>392</v>
      </c>
      <c r="G16" s="18">
        <v>309</v>
      </c>
      <c r="H16" s="18">
        <v>1007</v>
      </c>
      <c r="I16" s="18">
        <f>G16+H16-C16-E16</f>
        <v>0</v>
      </c>
      <c r="J16" s="18">
        <f>C16-G16</f>
        <v>-153</v>
      </c>
      <c r="K16" s="32"/>
    </row>
    <row r="17" ht="20.05" customHeight="1">
      <c r="B17" s="29"/>
      <c r="C17" s="17">
        <v>179</v>
      </c>
      <c r="D17" s="18">
        <v>1288</v>
      </c>
      <c r="E17" s="18">
        <f>D17-C17</f>
        <v>1109</v>
      </c>
      <c r="F17" s="18">
        <v>407</v>
      </c>
      <c r="G17" s="18">
        <v>287</v>
      </c>
      <c r="H17" s="18">
        <v>1001</v>
      </c>
      <c r="I17" s="18">
        <f>G17+H17-C17-E17</f>
        <v>0</v>
      </c>
      <c r="J17" s="18">
        <f>C17-G17</f>
        <v>-108</v>
      </c>
      <c r="K17" s="32"/>
    </row>
    <row r="18" ht="20.05" customHeight="1">
      <c r="B18" s="29"/>
      <c r="C18" s="17">
        <v>231</v>
      </c>
      <c r="D18" s="18">
        <v>1298</v>
      </c>
      <c r="E18" s="18">
        <f>D18-C18</f>
        <v>1067</v>
      </c>
      <c r="F18" s="18">
        <v>421</v>
      </c>
      <c r="G18" s="18">
        <v>294</v>
      </c>
      <c r="H18" s="18">
        <v>1004</v>
      </c>
      <c r="I18" s="18">
        <f>G18+H18-C18-E18</f>
        <v>0</v>
      </c>
      <c r="J18" s="18">
        <f>C18-G18</f>
        <v>-63</v>
      </c>
      <c r="K18" s="32"/>
    </row>
    <row r="19" ht="20.05" customHeight="1">
      <c r="B19" s="29"/>
      <c r="C19" s="17">
        <v>265</v>
      </c>
      <c r="D19" s="18">
        <v>1299</v>
      </c>
      <c r="E19" s="18">
        <f>D19-C19</f>
        <v>1034</v>
      </c>
      <c r="F19" s="18">
        <v>435</v>
      </c>
      <c r="G19" s="18">
        <v>266</v>
      </c>
      <c r="H19" s="18">
        <v>1033</v>
      </c>
      <c r="I19" s="18">
        <f>G19+H19-C19-E19</f>
        <v>0</v>
      </c>
      <c r="J19" s="18">
        <f>C19-G19</f>
        <v>-1</v>
      </c>
      <c r="K19" s="32"/>
    </row>
    <row r="20" ht="20.05" customHeight="1">
      <c r="B20" s="31">
        <v>2020</v>
      </c>
      <c r="C20" s="17">
        <v>350</v>
      </c>
      <c r="D20" s="18">
        <v>1391</v>
      </c>
      <c r="E20" s="18">
        <f>D20-C20</f>
        <v>1041</v>
      </c>
      <c r="F20" s="18">
        <v>444</v>
      </c>
      <c r="G20" s="18">
        <v>346</v>
      </c>
      <c r="H20" s="18">
        <v>1045</v>
      </c>
      <c r="I20" s="18">
        <f>G20+H20-C20-E20</f>
        <v>0</v>
      </c>
      <c r="J20" s="18">
        <f>C20-G20</f>
        <v>4</v>
      </c>
      <c r="K20" s="32"/>
    </row>
    <row r="21" ht="20.05" customHeight="1">
      <c r="B21" s="29"/>
      <c r="C21" s="17">
        <v>389</v>
      </c>
      <c r="D21" s="18">
        <v>1437</v>
      </c>
      <c r="E21" s="18">
        <f>D21-C21</f>
        <v>1048</v>
      </c>
      <c r="F21" s="18">
        <v>459</v>
      </c>
      <c r="G21" s="18">
        <v>366</v>
      </c>
      <c r="H21" s="18">
        <v>1071</v>
      </c>
      <c r="I21" s="18">
        <f>G21+H21-C21-E21</f>
        <v>0</v>
      </c>
      <c r="J21" s="18">
        <f>C21-G21</f>
        <v>23</v>
      </c>
      <c r="K21" s="32"/>
    </row>
    <row r="22" ht="20.05" customHeight="1">
      <c r="B22" s="29"/>
      <c r="C22" s="17">
        <v>441</v>
      </c>
      <c r="D22" s="18">
        <v>1554</v>
      </c>
      <c r="E22" s="18">
        <f>D22-C22</f>
        <v>1113</v>
      </c>
      <c r="F22" s="18">
        <v>473</v>
      </c>
      <c r="G22" s="18">
        <v>427</v>
      </c>
      <c r="H22" s="18">
        <v>1126</v>
      </c>
      <c r="I22" s="18">
        <f>G22+H22-C22-E22</f>
        <v>-1</v>
      </c>
      <c r="J22" s="18">
        <f>C22-G22</f>
        <v>14</v>
      </c>
      <c r="K22" s="32"/>
    </row>
    <row r="23" ht="20.05" customHeight="1">
      <c r="B23" s="29"/>
      <c r="C23" s="17">
        <v>430</v>
      </c>
      <c r="D23" s="18">
        <v>1615</v>
      </c>
      <c r="E23" s="18">
        <f>D23-C23</f>
        <v>1185</v>
      </c>
      <c r="F23" s="18">
        <v>490</v>
      </c>
      <c r="G23" s="18">
        <v>429</v>
      </c>
      <c r="H23" s="18">
        <v>1186</v>
      </c>
      <c r="I23" s="18">
        <f>G23+H23-C23-E23</f>
        <v>0</v>
      </c>
      <c r="J23" s="18">
        <f>C23-G23</f>
        <v>1</v>
      </c>
      <c r="K23" s="32"/>
    </row>
    <row r="24" ht="20.05" customHeight="1">
      <c r="B24" s="31">
        <v>2021</v>
      </c>
      <c r="C24" s="17">
        <v>431</v>
      </c>
      <c r="D24" s="18">
        <v>1572</v>
      </c>
      <c r="E24" s="18">
        <f>D24-C24</f>
        <v>1141</v>
      </c>
      <c r="F24" s="18">
        <v>501</v>
      </c>
      <c r="G24" s="18">
        <v>350</v>
      </c>
      <c r="H24" s="18">
        <v>1222</v>
      </c>
      <c r="I24" s="18">
        <f>G24+H24-C24-E24</f>
        <v>0</v>
      </c>
      <c r="J24" s="18">
        <f>C24-G24</f>
        <v>81</v>
      </c>
      <c r="K24" s="18"/>
    </row>
    <row r="25" ht="20.05" customHeight="1">
      <c r="B25" s="29"/>
      <c r="C25" s="17">
        <v>528</v>
      </c>
      <c r="D25" s="18">
        <v>1702</v>
      </c>
      <c r="E25" s="18">
        <f>D25-C25</f>
        <v>1174</v>
      </c>
      <c r="F25" s="18">
        <f>F24+'Sales'!E29</f>
        <v>516</v>
      </c>
      <c r="G25" s="18">
        <v>458</v>
      </c>
      <c r="H25" s="18">
        <v>1245</v>
      </c>
      <c r="I25" s="18">
        <f>G25+H25-C25-E25</f>
        <v>1</v>
      </c>
      <c r="J25" s="18">
        <f>C25-G25</f>
        <v>70</v>
      </c>
      <c r="K25" s="18"/>
    </row>
    <row r="26" ht="20.05" customHeight="1">
      <c r="B26" s="29"/>
      <c r="C26" s="17">
        <v>496</v>
      </c>
      <c r="D26" s="18">
        <v>1735</v>
      </c>
      <c r="E26" s="18">
        <f>D26-C26</f>
        <v>1239</v>
      </c>
      <c r="F26" s="18">
        <v>529</v>
      </c>
      <c r="G26" s="18">
        <v>490</v>
      </c>
      <c r="H26" s="18">
        <v>1245</v>
      </c>
      <c r="I26" s="18">
        <f>G26+H26-C26-E26</f>
        <v>0</v>
      </c>
      <c r="J26" s="18">
        <f>C26-G26</f>
        <v>6</v>
      </c>
      <c r="K26" s="18"/>
    </row>
    <row r="27" ht="20.05" customHeight="1">
      <c r="B27" s="29"/>
      <c r="C27" s="17">
        <v>522</v>
      </c>
      <c r="D27" s="18">
        <v>1891</v>
      </c>
      <c r="E27" s="18">
        <f>D27-C27</f>
        <v>1369</v>
      </c>
      <c r="F27" s="18">
        <v>542</v>
      </c>
      <c r="G27" s="18">
        <v>573</v>
      </c>
      <c r="H27" s="18">
        <v>1318</v>
      </c>
      <c r="I27" s="18">
        <f>G27+H27-C27-E27</f>
        <v>0</v>
      </c>
      <c r="J27" s="18">
        <f>C27-G27</f>
        <v>-51</v>
      </c>
      <c r="K27" s="18"/>
    </row>
    <row r="28" ht="20.05" customHeight="1">
      <c r="B28" s="31">
        <v>2022</v>
      </c>
      <c r="C28" s="17">
        <v>516</v>
      </c>
      <c r="D28" s="18">
        <v>1784</v>
      </c>
      <c r="E28" s="18">
        <f>D28-C28</f>
        <v>1268</v>
      </c>
      <c r="F28" s="18">
        <v>555</v>
      </c>
      <c r="G28" s="18">
        <v>428</v>
      </c>
      <c r="H28" s="18">
        <v>1356</v>
      </c>
      <c r="I28" s="18">
        <f>G28+H28-C28-E28</f>
        <v>0</v>
      </c>
      <c r="J28" s="18">
        <f>C28-G28</f>
        <v>88</v>
      </c>
      <c r="K28" s="18">
        <v>29.5870371755</v>
      </c>
    </row>
    <row r="29" ht="20.05" customHeight="1">
      <c r="B29" s="29"/>
      <c r="C29" s="17"/>
      <c r="D29" s="18"/>
      <c r="E29" s="18">
        <f>D29-C29</f>
        <v>0</v>
      </c>
      <c r="F29" s="18"/>
      <c r="G29" s="18"/>
      <c r="H29" s="18"/>
      <c r="I29" s="18"/>
      <c r="J29" s="18"/>
      <c r="K29" s="18">
        <f>'Model'!F31</f>
        <v>189.708077448410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24219" style="41" customWidth="1"/>
    <col min="2" max="2" width="7.60938" style="41" customWidth="1"/>
    <col min="3" max="5" width="8.85156" style="41" customWidth="1"/>
    <col min="6" max="16384" width="16.3516" style="41" customWidth="1"/>
  </cols>
  <sheetData>
    <row r="1" ht="40.5" customHeight="1"/>
    <row r="2" ht="27.65" customHeight="1">
      <c r="B2" t="s" s="2">
        <v>57</v>
      </c>
      <c r="C2" s="2"/>
      <c r="D2" s="2"/>
      <c r="E2" s="2"/>
    </row>
    <row r="3" ht="20.05" customHeight="1">
      <c r="B3" s="42"/>
      <c r="C3" t="s" s="43">
        <v>58</v>
      </c>
      <c r="D3" t="s" s="43">
        <v>59</v>
      </c>
      <c r="E3" t="s" s="44">
        <v>60</v>
      </c>
    </row>
    <row r="4" ht="20.05" customHeight="1">
      <c r="B4" s="45">
        <v>2014</v>
      </c>
      <c r="C4" s="46">
        <v>740</v>
      </c>
      <c r="D4" s="47"/>
      <c r="E4" s="48"/>
    </row>
    <row r="5" ht="20.05" customHeight="1">
      <c r="B5" s="49"/>
      <c r="C5" s="46">
        <v>610</v>
      </c>
      <c r="D5" s="50"/>
      <c r="E5" s="51"/>
    </row>
    <row r="6" ht="20.05" customHeight="1">
      <c r="B6" s="49"/>
      <c r="C6" s="46">
        <v>550</v>
      </c>
      <c r="D6" s="50"/>
      <c r="E6" s="51"/>
    </row>
    <row r="7" ht="20.05" customHeight="1">
      <c r="B7" s="49"/>
      <c r="C7" s="46">
        <v>625</v>
      </c>
      <c r="D7" s="50"/>
      <c r="E7" s="51"/>
    </row>
    <row r="8" ht="20.05" customHeight="1">
      <c r="B8" s="52">
        <v>2015</v>
      </c>
      <c r="C8" s="46">
        <v>540</v>
      </c>
      <c r="D8" s="50"/>
      <c r="E8" s="51"/>
    </row>
    <row r="9" ht="20.05" customHeight="1">
      <c r="B9" s="49"/>
      <c r="C9" s="46">
        <v>410</v>
      </c>
      <c r="D9" s="50"/>
      <c r="E9" s="51"/>
    </row>
    <row r="10" ht="20.05" customHeight="1">
      <c r="B10" s="49"/>
      <c r="C10" s="46">
        <v>378</v>
      </c>
      <c r="D10" s="50"/>
      <c r="E10" s="51"/>
    </row>
    <row r="11" ht="20.05" customHeight="1">
      <c r="B11" s="49"/>
      <c r="C11" s="46">
        <v>430</v>
      </c>
      <c r="D11" s="50"/>
      <c r="E11" s="51"/>
    </row>
    <row r="12" ht="20.05" customHeight="1">
      <c r="B12" s="52">
        <v>2016</v>
      </c>
      <c r="C12" s="46">
        <v>399</v>
      </c>
      <c r="D12" s="50"/>
      <c r="E12" s="51"/>
    </row>
    <row r="13" ht="20.05" customHeight="1">
      <c r="B13" s="49"/>
      <c r="C13" s="46">
        <v>390</v>
      </c>
      <c r="D13" s="50"/>
      <c r="E13" s="51"/>
    </row>
    <row r="14" ht="20.05" customHeight="1">
      <c r="B14" s="49"/>
      <c r="C14" s="46">
        <v>410</v>
      </c>
      <c r="D14" s="50"/>
      <c r="E14" s="51"/>
    </row>
    <row r="15" ht="20.05" customHeight="1">
      <c r="B15" s="49"/>
      <c r="C15" s="46">
        <v>440</v>
      </c>
      <c r="D15" s="50"/>
      <c r="E15" s="51"/>
    </row>
    <row r="16" ht="20.05" customHeight="1">
      <c r="B16" s="52">
        <v>2017</v>
      </c>
      <c r="C16" s="46">
        <v>452</v>
      </c>
      <c r="D16" s="50"/>
      <c r="E16" s="51"/>
    </row>
    <row r="17" ht="20.05" customHeight="1">
      <c r="B17" s="49"/>
      <c r="C17" s="46">
        <v>428</v>
      </c>
      <c r="D17" s="50"/>
      <c r="E17" s="51"/>
    </row>
    <row r="18" ht="20.05" customHeight="1">
      <c r="B18" s="49"/>
      <c r="C18" s="46">
        <v>318</v>
      </c>
      <c r="D18" s="50"/>
      <c r="E18" s="51"/>
    </row>
    <row r="19" ht="20.05" customHeight="1">
      <c r="B19" s="49"/>
      <c r="C19" s="46">
        <v>290</v>
      </c>
      <c r="D19" s="50"/>
      <c r="E19" s="51"/>
    </row>
    <row r="20" ht="20.05" customHeight="1">
      <c r="B20" s="52">
        <v>2018</v>
      </c>
      <c r="C20" s="46">
        <v>260</v>
      </c>
      <c r="D20" s="50"/>
      <c r="E20" s="51"/>
    </row>
    <row r="21" ht="20.05" customHeight="1">
      <c r="B21" s="49"/>
      <c r="C21" s="46">
        <v>230</v>
      </c>
      <c r="D21" s="50"/>
      <c r="E21" s="51"/>
    </row>
    <row r="22" ht="20.05" customHeight="1">
      <c r="B22" s="49"/>
      <c r="C22" s="46">
        <v>168</v>
      </c>
      <c r="D22" s="50"/>
      <c r="E22" s="51"/>
    </row>
    <row r="23" ht="20.05" customHeight="1">
      <c r="B23" s="49"/>
      <c r="C23" s="46">
        <v>141</v>
      </c>
      <c r="D23" s="50"/>
      <c r="E23" s="51"/>
    </row>
    <row r="24" ht="20.05" customHeight="1">
      <c r="B24" s="52">
        <v>2019</v>
      </c>
      <c r="C24" s="46">
        <v>264</v>
      </c>
      <c r="D24" s="50"/>
      <c r="E24" s="51"/>
    </row>
    <row r="25" ht="20.05" customHeight="1">
      <c r="B25" s="49"/>
      <c r="C25" s="46">
        <v>262</v>
      </c>
      <c r="D25" s="50"/>
      <c r="E25" s="51"/>
    </row>
    <row r="26" ht="20.05" customHeight="1">
      <c r="B26" s="49"/>
      <c r="C26" s="46">
        <v>194</v>
      </c>
      <c r="D26" s="50"/>
      <c r="E26" s="51"/>
    </row>
    <row r="27" ht="20.05" customHeight="1">
      <c r="B27" s="49"/>
      <c r="C27" s="46">
        <v>168</v>
      </c>
      <c r="D27" s="50"/>
      <c r="E27" s="51"/>
    </row>
    <row r="28" ht="20.05" customHeight="1">
      <c r="B28" s="52">
        <v>2020</v>
      </c>
      <c r="C28" s="53">
        <v>79</v>
      </c>
      <c r="D28" s="54"/>
      <c r="E28" s="54"/>
    </row>
    <row r="29" ht="20.05" customHeight="1">
      <c r="B29" s="49"/>
      <c r="C29" s="53">
        <v>185</v>
      </c>
      <c r="D29" s="18"/>
      <c r="E29" s="18"/>
    </row>
    <row r="30" ht="20.05" customHeight="1">
      <c r="B30" s="55"/>
      <c r="C30" s="56">
        <v>320</v>
      </c>
      <c r="D30" s="18"/>
      <c r="E30" s="18"/>
    </row>
    <row r="31" ht="20.05" customHeight="1">
      <c r="B31" s="57"/>
      <c r="C31" s="56">
        <v>540</v>
      </c>
      <c r="D31" s="18"/>
      <c r="E31" s="18"/>
    </row>
    <row r="32" ht="20.05" customHeight="1">
      <c r="B32" s="58">
        <v>2021</v>
      </c>
      <c r="C32" s="56">
        <v>885</v>
      </c>
      <c r="D32" s="18"/>
      <c r="E32" s="18"/>
    </row>
    <row r="33" ht="20.05" customHeight="1">
      <c r="B33" s="57"/>
      <c r="C33" s="56">
        <v>580</v>
      </c>
      <c r="D33" s="18"/>
      <c r="E33" s="18"/>
    </row>
    <row r="34" ht="20.05" customHeight="1">
      <c r="B34" s="57"/>
      <c r="C34" s="56">
        <v>492</v>
      </c>
      <c r="D34" s="18"/>
      <c r="E34" s="18"/>
    </row>
    <row r="35" ht="20.05" customHeight="1">
      <c r="B35" s="57"/>
      <c r="C35" s="56">
        <v>428</v>
      </c>
      <c r="D35" s="18">
        <v>1222.031184975470</v>
      </c>
      <c r="E35" s="21"/>
    </row>
    <row r="36" ht="20.05" customHeight="1">
      <c r="B36" s="58">
        <v>2022</v>
      </c>
      <c r="C36" s="56">
        <v>454</v>
      </c>
      <c r="D36" s="18">
        <v>1029.997713050750</v>
      </c>
      <c r="E36" s="21"/>
    </row>
    <row r="37" ht="20.05" customHeight="1">
      <c r="B37" s="57"/>
      <c r="C37" s="56">
        <v>484</v>
      </c>
      <c r="D37" s="18">
        <v>1109.790985086670</v>
      </c>
      <c r="E37" s="21"/>
    </row>
    <row r="38" ht="20.05" customHeight="1">
      <c r="B38" s="57"/>
      <c r="C38" s="56"/>
      <c r="D38" s="18">
        <f>'Model'!F44</f>
        <v>1144.101065202430</v>
      </c>
      <c r="E38" s="21"/>
    </row>
    <row r="39" ht="20.05" customHeight="1">
      <c r="B39" s="57"/>
      <c r="C39" s="59"/>
      <c r="D39" s="21"/>
      <c r="E39" s="2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2:U43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0.7422" style="60" customWidth="1"/>
    <col min="2" max="9" width="12.3984" style="60" customWidth="1"/>
    <col min="10" max="21" width="11.375" style="61" customWidth="1"/>
    <col min="22" max="16384" width="16.3516" style="61" customWidth="1"/>
  </cols>
  <sheetData>
    <row r="1" ht="27.65" customHeight="1">
      <c r="B1" t="s" s="2">
        <v>61</v>
      </c>
      <c r="C1" s="2"/>
      <c r="D1" s="2"/>
      <c r="E1" s="2"/>
      <c r="F1" s="2"/>
      <c r="G1" s="2"/>
      <c r="H1" s="2"/>
      <c r="I1" s="2"/>
    </row>
    <row r="2" ht="20.25" customHeight="1">
      <c r="B2" t="s" s="5">
        <v>42</v>
      </c>
      <c r="C2" t="s" s="5">
        <v>11</v>
      </c>
      <c r="D2" t="s" s="5">
        <v>54</v>
      </c>
      <c r="E2" t="s" s="5">
        <v>62</v>
      </c>
      <c r="F2" t="s" s="5">
        <v>11</v>
      </c>
      <c r="G2" t="s" s="5">
        <v>54</v>
      </c>
      <c r="H2" t="s" s="5">
        <v>62</v>
      </c>
      <c r="I2" s="4"/>
    </row>
    <row r="3" ht="20.25" customHeight="1">
      <c r="B3" s="24">
        <v>2005</v>
      </c>
      <c r="C3" s="38"/>
      <c r="D3" s="27"/>
      <c r="E3" s="27">
        <f>C3+D3</f>
        <v>0</v>
      </c>
      <c r="F3" s="27">
        <f>C3</f>
        <v>0</v>
      </c>
      <c r="G3" s="27">
        <f>D3</f>
        <v>0</v>
      </c>
      <c r="H3" s="27">
        <f>E3</f>
        <v>0</v>
      </c>
      <c r="I3" s="8"/>
    </row>
    <row r="4" ht="20.05" customHeight="1">
      <c r="B4" s="31">
        <f>1+$B3</f>
        <v>2006</v>
      </c>
      <c r="C4" s="17"/>
      <c r="D4" s="18"/>
      <c r="E4" s="18">
        <f>C4+D4</f>
        <v>0</v>
      </c>
      <c r="F4" s="18">
        <f>C4+F3</f>
        <v>0</v>
      </c>
      <c r="G4" s="18">
        <f>D4+G3</f>
        <v>0</v>
      </c>
      <c r="H4" s="18">
        <f>E4+H3</f>
        <v>0</v>
      </c>
      <c r="I4" s="21"/>
    </row>
    <row r="5" ht="20.05" customHeight="1">
      <c r="B5" s="31">
        <f>1+$B4</f>
        <v>2007</v>
      </c>
      <c r="C5" s="17"/>
      <c r="D5" s="18"/>
      <c r="E5" s="18">
        <f>C5+D5</f>
        <v>0</v>
      </c>
      <c r="F5" s="18">
        <f>C5+F4</f>
        <v>0</v>
      </c>
      <c r="G5" s="18">
        <f>D5+G4</f>
        <v>0</v>
      </c>
      <c r="H5" s="18">
        <f>E5+H4</f>
        <v>0</v>
      </c>
      <c r="I5" s="21"/>
    </row>
    <row r="6" ht="20.05" customHeight="1">
      <c r="B6" s="31">
        <f>1+$B5</f>
        <v>2008</v>
      </c>
      <c r="C6" s="17"/>
      <c r="D6" s="18"/>
      <c r="E6" s="18">
        <f>C6+D6</f>
        <v>0</v>
      </c>
      <c r="F6" s="18">
        <f>C6+F5</f>
        <v>0</v>
      </c>
      <c r="G6" s="18">
        <f>D6+G5</f>
        <v>0</v>
      </c>
      <c r="H6" s="18">
        <f>E6+H5</f>
        <v>0</v>
      </c>
      <c r="I6" s="21"/>
    </row>
    <row r="7" ht="20.05" customHeight="1">
      <c r="B7" s="31">
        <f>1+$B6</f>
        <v>2009</v>
      </c>
      <c r="C7" s="17">
        <v>7</v>
      </c>
      <c r="D7" s="18">
        <v>-1</v>
      </c>
      <c r="E7" s="18">
        <f>C7+D7</f>
        <v>6</v>
      </c>
      <c r="F7" s="18">
        <f>C7+F6</f>
        <v>7</v>
      </c>
      <c r="G7" s="18">
        <f>D7+G6</f>
        <v>-1</v>
      </c>
      <c r="H7" s="18">
        <f>E7+H6</f>
        <v>6</v>
      </c>
      <c r="I7" s="21"/>
    </row>
    <row r="8" ht="20.05" customHeight="1">
      <c r="B8" s="31">
        <f>1+$B7</f>
        <v>2010</v>
      </c>
      <c r="C8" s="17">
        <v>13.4</v>
      </c>
      <c r="D8" s="18">
        <v>-2.2</v>
      </c>
      <c r="E8" s="18">
        <f>C8+D8</f>
        <v>11.2</v>
      </c>
      <c r="F8" s="18">
        <f>C8+F7</f>
        <v>20.4</v>
      </c>
      <c r="G8" s="18">
        <f>D8+G7</f>
        <v>-3.2</v>
      </c>
      <c r="H8" s="18">
        <f>E8+H7</f>
        <v>17.2</v>
      </c>
      <c r="I8" s="21"/>
    </row>
    <row r="9" ht="20.05" customHeight="1">
      <c r="B9" s="31">
        <f>1+$B8</f>
        <v>2011</v>
      </c>
      <c r="C9" s="17">
        <v>216</v>
      </c>
      <c r="D9" s="18">
        <v>-95</v>
      </c>
      <c r="E9" s="18">
        <f>C9+D9</f>
        <v>121</v>
      </c>
      <c r="F9" s="18">
        <f>C9+F8</f>
        <v>236.4</v>
      </c>
      <c r="G9" s="18">
        <f>D9+G8</f>
        <v>-98.2</v>
      </c>
      <c r="H9" s="18">
        <f>E9+H8</f>
        <v>138.2</v>
      </c>
      <c r="I9" s="21"/>
    </row>
    <row r="10" ht="20.05" customHeight="1">
      <c r="B10" s="31">
        <f>1+$B9</f>
        <v>2012</v>
      </c>
      <c r="C10" s="17">
        <v>-3</v>
      </c>
      <c r="D10" s="18">
        <v>295</v>
      </c>
      <c r="E10" s="18">
        <f>C10+D10</f>
        <v>292</v>
      </c>
      <c r="F10" s="18">
        <f>C10+F9</f>
        <v>233.4</v>
      </c>
      <c r="G10" s="18">
        <f>D10+G9</f>
        <v>196.8</v>
      </c>
      <c r="H10" s="18">
        <f>E10+H9</f>
        <v>430.2</v>
      </c>
      <c r="I10" s="21"/>
    </row>
    <row r="11" ht="20.05" customHeight="1">
      <c r="B11" s="31">
        <f>1+$B10</f>
        <v>2013</v>
      </c>
      <c r="C11" s="17">
        <f>249-367</f>
        <v>-118</v>
      </c>
      <c r="D11" s="18">
        <v>-8</v>
      </c>
      <c r="E11" s="18">
        <f>C11+D11</f>
        <v>-126</v>
      </c>
      <c r="F11" s="18">
        <f>C11+F10</f>
        <v>115.4</v>
      </c>
      <c r="G11" s="18">
        <f>D11+G10</f>
        <v>188.8</v>
      </c>
      <c r="H11" s="18">
        <f>E11+H10</f>
        <v>304.2</v>
      </c>
      <c r="I11" s="21"/>
    </row>
    <row r="12" ht="20.05" customHeight="1">
      <c r="B12" s="31">
        <f>1+$B11</f>
        <v>2014</v>
      </c>
      <c r="C12" s="17">
        <f>475-423</f>
        <v>52</v>
      </c>
      <c r="D12" s="18">
        <v>-40</v>
      </c>
      <c r="E12" s="18">
        <f>C12+D12</f>
        <v>12</v>
      </c>
      <c r="F12" s="18">
        <f>C12+F11</f>
        <v>167.4</v>
      </c>
      <c r="G12" s="18">
        <f>D12+G11</f>
        <v>148.8</v>
      </c>
      <c r="H12" s="18">
        <f>E12+H11</f>
        <v>316.2</v>
      </c>
      <c r="I12" s="21"/>
    </row>
    <row r="13" ht="20.05" customHeight="1">
      <c r="B13" s="31">
        <f>1+$B12</f>
        <v>2015</v>
      </c>
      <c r="C13" s="17">
        <f>1301-1245-7</f>
        <v>49</v>
      </c>
      <c r="D13" s="18">
        <v>-28</v>
      </c>
      <c r="E13" s="18">
        <f>C13+D13</f>
        <v>21</v>
      </c>
      <c r="F13" s="18">
        <f>C13+F12</f>
        <v>216.4</v>
      </c>
      <c r="G13" s="18">
        <f>D13+G12</f>
        <v>120.8</v>
      </c>
      <c r="H13" s="18">
        <f>E13+H12</f>
        <v>337.2</v>
      </c>
      <c r="I13" s="21"/>
    </row>
    <row r="14" ht="20.05" customHeight="1">
      <c r="B14" s="31">
        <f>1+$B13</f>
        <v>2016</v>
      </c>
      <c r="C14" s="17">
        <f>885-952-5</f>
        <v>-72</v>
      </c>
      <c r="D14" s="18">
        <v>-53</v>
      </c>
      <c r="E14" s="18">
        <f>C14+D14</f>
        <v>-125</v>
      </c>
      <c r="F14" s="18">
        <f>C14+F13</f>
        <v>144.4</v>
      </c>
      <c r="G14" s="18">
        <f>D14+G13</f>
        <v>67.8</v>
      </c>
      <c r="H14" s="18">
        <f>E14+H13</f>
        <v>212.2</v>
      </c>
      <c r="I14" s="21"/>
    </row>
    <row r="15" ht="20.05" customHeight="1">
      <c r="B15" s="31">
        <f>1+$B14</f>
        <v>2017</v>
      </c>
      <c r="C15" s="17">
        <f>219-356</f>
        <v>-137</v>
      </c>
      <c r="D15" s="18">
        <v>-33</v>
      </c>
      <c r="E15" s="18">
        <f>C15+D15</f>
        <v>-170</v>
      </c>
      <c r="F15" s="18">
        <f>C15+F14</f>
        <v>7.4</v>
      </c>
      <c r="G15" s="18">
        <f>D15+G14</f>
        <v>34.8</v>
      </c>
      <c r="H15" s="18">
        <f>E15+H14</f>
        <v>42.2</v>
      </c>
      <c r="I15" s="21"/>
    </row>
    <row r="16" ht="20.05" customHeight="1">
      <c r="B16" s="31">
        <f>1+$B15</f>
        <v>2018</v>
      </c>
      <c r="C16" s="17">
        <f>66-120</f>
        <v>-54</v>
      </c>
      <c r="D16" s="18">
        <v>0</v>
      </c>
      <c r="E16" s="18">
        <f>C16+D16</f>
        <v>-54</v>
      </c>
      <c r="F16" s="18">
        <f>C16+F15</f>
        <v>-46.6</v>
      </c>
      <c r="G16" s="18">
        <f>D16+G15</f>
        <v>34.8</v>
      </c>
      <c r="H16" s="18">
        <f>E16+H15</f>
        <v>-11.8</v>
      </c>
      <c r="I16" s="21"/>
    </row>
    <row r="17" ht="20.05" customHeight="1">
      <c r="B17" s="31">
        <f>1+$B16</f>
        <v>2019</v>
      </c>
      <c r="C17" s="17">
        <v>38</v>
      </c>
      <c r="D17" s="18">
        <v>-5</v>
      </c>
      <c r="E17" s="18">
        <f>C17+D17</f>
        <v>33</v>
      </c>
      <c r="F17" s="18">
        <f>C17+F16</f>
        <v>-8.6</v>
      </c>
      <c r="G17" s="18">
        <f>D17+G16</f>
        <v>29.8</v>
      </c>
      <c r="H17" s="18">
        <f>E17+H16</f>
        <v>21.2</v>
      </c>
      <c r="I17" s="32">
        <f>AVERAGE(E7:E19)</f>
        <v>-3.66923076923077</v>
      </c>
    </row>
    <row r="18" ht="20.05" customHeight="1">
      <c r="B18" s="31">
        <f>1+$B17</f>
        <v>2020</v>
      </c>
      <c r="C18" s="17">
        <f>SUM('Cashflow'!G24:G27)</f>
        <v>-42.5</v>
      </c>
      <c r="D18" s="18">
        <f>SUM('Cashflow'!H24:H27)</f>
        <v>-7.4</v>
      </c>
      <c r="E18" s="18">
        <f>C18+D18</f>
        <v>-49.9</v>
      </c>
      <c r="F18" s="18">
        <f>C18+F17</f>
        <v>-51.1</v>
      </c>
      <c r="G18" s="18">
        <f>D18+G17</f>
        <v>22.4</v>
      </c>
      <c r="H18" s="18">
        <f>E18+H17</f>
        <v>-28.7</v>
      </c>
      <c r="I18" s="32">
        <f>AVERAGE(E15:E19)</f>
        <v>-51.98</v>
      </c>
    </row>
    <row r="19" ht="20.05" customHeight="1">
      <c r="B19" s="31">
        <f>1+$B18</f>
        <v>2021</v>
      </c>
      <c r="C19" s="17">
        <f>SUM('Cashflow'!F28:F31)</f>
        <v>-4.1</v>
      </c>
      <c r="D19" s="18">
        <f>SUM('Cashflow'!G28:G31)</f>
        <v>-14.9</v>
      </c>
      <c r="E19" s="18">
        <f>C19+D19</f>
        <v>-19</v>
      </c>
      <c r="F19" s="18">
        <f>C19+F18</f>
        <v>-55.2</v>
      </c>
      <c r="G19" s="18">
        <f>D19+G18</f>
        <v>7.5</v>
      </c>
      <c r="H19" s="18">
        <f>E19+H18</f>
        <v>-47.7</v>
      </c>
      <c r="I19" s="32">
        <f>E19</f>
        <v>-19</v>
      </c>
    </row>
    <row r="21" ht="27.65" customHeight="1">
      <c r="J21" t="s" s="2">
        <v>63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ht="20.25" customHeight="1"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ht="20.25" customHeight="1">
      <c r="J23" s="62"/>
      <c r="K23" t="s" s="63">
        <v>64</v>
      </c>
      <c r="L23" s="64">
        <v>1016337072128</v>
      </c>
      <c r="M23" s="8"/>
      <c r="N23" s="8"/>
      <c r="O23" s="8"/>
      <c r="P23" s="8"/>
      <c r="Q23" s="8"/>
      <c r="R23" s="8"/>
      <c r="S23" s="8"/>
      <c r="T23" s="8"/>
      <c r="U23" s="8"/>
    </row>
    <row r="24" ht="44.05" customHeight="1">
      <c r="J24" s="29"/>
      <c r="K24" t="s" s="65">
        <v>58</v>
      </c>
      <c r="L24" t="s" s="66">
        <v>65</v>
      </c>
      <c r="M24" s="16">
        <f>S43</f>
        <v>-0.0522464460425709</v>
      </c>
      <c r="N24" t="s" s="66">
        <f>T43</f>
        <v>66</v>
      </c>
      <c r="O24" t="s" s="66">
        <f>U43</f>
        <v>67</v>
      </c>
      <c r="P24" s="21"/>
      <c r="Q24" s="21"/>
      <c r="R24" s="21"/>
      <c r="S24" s="21"/>
      <c r="T24" s="21"/>
      <c r="U24" s="21"/>
    </row>
    <row r="25" ht="20.05" customHeight="1">
      <c r="J25" s="29"/>
      <c r="K25" s="67">
        <v>44665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ht="20.05" customHeight="1">
      <c r="J26" s="29"/>
      <c r="K26" t="s" s="65">
        <v>68</v>
      </c>
      <c r="L26" s="32">
        <f>$B7</f>
        <v>2009</v>
      </c>
      <c r="M26" s="21"/>
      <c r="N26" s="21"/>
      <c r="O26" s="21"/>
      <c r="P26" s="21"/>
      <c r="Q26" s="21"/>
      <c r="R26" s="21"/>
      <c r="S26" s="21"/>
      <c r="T26" s="21"/>
      <c r="U26" s="21"/>
    </row>
    <row r="27" ht="32.05" customHeight="1">
      <c r="J27" s="29"/>
      <c r="K27" t="s" s="65">
        <v>69</v>
      </c>
      <c r="L27" s="32">
        <f>(2022-L26)*4</f>
        <v>52</v>
      </c>
      <c r="M27" s="21"/>
      <c r="N27" s="21"/>
      <c r="O27" s="21"/>
      <c r="P27" s="21"/>
      <c r="Q27" s="21"/>
      <c r="R27" s="21"/>
      <c r="S27" s="21"/>
      <c r="T27" s="21"/>
      <c r="U27" s="21"/>
    </row>
    <row r="28" ht="32.05" customHeight="1">
      <c r="J28" s="29"/>
      <c r="K28" t="s" s="65">
        <v>70</v>
      </c>
      <c r="L28" s="18">
        <f>(L23/1000000000)</f>
        <v>1016.337072128</v>
      </c>
      <c r="M28" s="21"/>
      <c r="N28" s="21"/>
      <c r="O28" s="21"/>
      <c r="P28" s="21"/>
      <c r="Q28" s="21"/>
      <c r="R28" s="21"/>
      <c r="S28" s="21"/>
      <c r="T28" s="21"/>
      <c r="U28" s="21"/>
    </row>
    <row r="29" ht="20.05" customHeight="1">
      <c r="J29" s="29"/>
      <c r="K29" t="s" s="65">
        <v>11</v>
      </c>
      <c r="L29" s="18">
        <f>Q33</f>
        <v>-55.2</v>
      </c>
      <c r="M29" t="s" s="66">
        <f>Q30</f>
        <v>71</v>
      </c>
      <c r="N29" t="s" s="66">
        <f>IF(L29&gt;0,"raised","paid")</f>
        <v>72</v>
      </c>
      <c r="O29" s="21"/>
      <c r="P29" s="21"/>
      <c r="Q29" s="21"/>
      <c r="R29" s="21"/>
      <c r="S29" s="21"/>
      <c r="T29" s="21"/>
      <c r="U29" s="21"/>
    </row>
    <row r="30" ht="32.05" customHeight="1">
      <c r="J30" s="29"/>
      <c r="K30" t="s" s="65">
        <f>K24</f>
        <v>58</v>
      </c>
      <c r="L30" t="s" s="66">
        <v>73</v>
      </c>
      <c r="M30" t="s" s="66">
        <f>IF(P30&gt;0,"raised","paid")</f>
        <v>72</v>
      </c>
      <c r="N30" t="s" s="66">
        <v>74</v>
      </c>
      <c r="O30" t="s" s="66">
        <v>75</v>
      </c>
      <c r="P30" s="18">
        <f>AVERAGE(C7:C19)</f>
        <v>-4.24615384615385</v>
      </c>
      <c r="Q30" t="s" s="66">
        <v>71</v>
      </c>
      <c r="R30" t="s" s="66">
        <v>76</v>
      </c>
      <c r="S30" s="16">
        <f>P30/L28</f>
        <v>-0.00417789920549024</v>
      </c>
      <c r="T30" t="s" s="66">
        <v>66</v>
      </c>
      <c r="U30" s="21"/>
    </row>
    <row r="31" ht="32.05" customHeight="1">
      <c r="J31" s="29"/>
      <c r="K31" t="s" s="65">
        <v>77</v>
      </c>
      <c r="L31" t="s" s="66">
        <f>N30</f>
        <v>74</v>
      </c>
      <c r="M31" t="s" s="66">
        <v>78</v>
      </c>
      <c r="N31" t="s" s="66">
        <f>IF(P31&gt;0,"raised","paid")</f>
        <v>72</v>
      </c>
      <c r="O31" t="s" s="66">
        <v>75</v>
      </c>
      <c r="P31" s="18">
        <f>AVERAGE(C15:C19)</f>
        <v>-39.92</v>
      </c>
      <c r="Q31" t="s" s="66">
        <f>Q30</f>
        <v>71</v>
      </c>
      <c r="R31" t="s" s="66">
        <v>76</v>
      </c>
      <c r="S31" s="16">
        <f>P31/L28</f>
        <v>-0.039278307457993</v>
      </c>
      <c r="T31" t="s" s="66">
        <v>66</v>
      </c>
      <c r="U31" s="21"/>
    </row>
    <row r="32" ht="44.05" customHeight="1">
      <c r="J32" s="29"/>
      <c r="K32" t="s" s="65">
        <v>79</v>
      </c>
      <c r="L32" t="s" s="66">
        <v>80</v>
      </c>
      <c r="M32" s="18">
        <f>MAX(F7:F19)</f>
        <v>236.4</v>
      </c>
      <c r="N32" t="s" s="66">
        <f>Q31</f>
        <v>71</v>
      </c>
      <c r="O32" t="s" s="66">
        <v>81</v>
      </c>
      <c r="P32" s="32">
        <f>$B9</f>
        <v>2011</v>
      </c>
      <c r="Q32" s="21"/>
      <c r="R32" s="21"/>
      <c r="S32" s="21"/>
      <c r="T32" s="21"/>
      <c r="U32" s="21"/>
    </row>
    <row r="33" ht="32.05" customHeight="1">
      <c r="J33" s="29"/>
      <c r="K33" t="s" s="65">
        <v>82</v>
      </c>
      <c r="L33" t="s" s="66">
        <f>L31</f>
        <v>74</v>
      </c>
      <c r="M33" t="s" s="66">
        <v>83</v>
      </c>
      <c r="N33" t="s" s="66">
        <v>84</v>
      </c>
      <c r="O33" t="s" s="66">
        <f>IF(Q33&lt;M32,"down","up")</f>
        <v>85</v>
      </c>
      <c r="P33" t="s" s="66">
        <v>86</v>
      </c>
      <c r="Q33" s="18">
        <f>F19</f>
        <v>-55.2</v>
      </c>
      <c r="R33" t="s" s="66">
        <f>Q31</f>
        <v>71</v>
      </c>
      <c r="S33" s="21"/>
      <c r="T33" s="21"/>
      <c r="U33" s="21"/>
    </row>
    <row r="34" ht="20.05" customHeight="1">
      <c r="J34" s="29"/>
      <c r="K34" t="s" s="65">
        <v>54</v>
      </c>
      <c r="L34" s="18">
        <f>Q38</f>
        <v>7.5</v>
      </c>
      <c r="M34" t="s" s="66">
        <f>R33</f>
        <v>71</v>
      </c>
      <c r="N34" t="s" s="66">
        <f>IF(L34&gt;0,"raised","paid")</f>
        <v>87</v>
      </c>
      <c r="O34" s="21"/>
      <c r="P34" s="21"/>
      <c r="Q34" s="21"/>
      <c r="R34" s="21"/>
      <c r="S34" s="21"/>
      <c r="T34" s="21"/>
      <c r="U34" s="21"/>
    </row>
    <row r="35" ht="32.05" customHeight="1">
      <c r="J35" s="29"/>
      <c r="K35" t="s" s="65">
        <f>K30</f>
        <v>58</v>
      </c>
      <c r="L35" t="s" s="66">
        <v>73</v>
      </c>
      <c r="M35" t="s" s="66">
        <f>IF(P35&gt;0,"raised","paid")</f>
        <v>87</v>
      </c>
      <c r="N35" t="s" s="66">
        <v>88</v>
      </c>
      <c r="O35" t="s" s="66">
        <f>O30</f>
        <v>75</v>
      </c>
      <c r="P35" s="18">
        <f>AVERAGE(D7:D19)</f>
        <v>0.576923076923077</v>
      </c>
      <c r="Q35" t="s" s="66">
        <f>Q30</f>
        <v>71</v>
      </c>
      <c r="R35" t="s" s="66">
        <f>R30</f>
        <v>76</v>
      </c>
      <c r="S35" s="16">
        <f>P35/L28</f>
        <v>0.000567649348572043</v>
      </c>
      <c r="T35" t="s" s="66">
        <f>T30</f>
        <v>66</v>
      </c>
      <c r="U35" s="21"/>
    </row>
    <row r="36" ht="32.05" customHeight="1">
      <c r="J36" s="29"/>
      <c r="K36" t="s" s="65">
        <v>77</v>
      </c>
      <c r="L36" t="s" s="66">
        <f>N35</f>
        <v>88</v>
      </c>
      <c r="M36" t="s" s="66">
        <v>89</v>
      </c>
      <c r="N36" t="s" s="66">
        <f>IF(P36&gt;0,"raised","paid")</f>
        <v>72</v>
      </c>
      <c r="O36" t="s" s="66">
        <v>75</v>
      </c>
      <c r="P36" s="18">
        <f>AVERAGE(D15:D19)</f>
        <v>-12.06</v>
      </c>
      <c r="Q36" t="s" s="66">
        <f>Q35</f>
        <v>71</v>
      </c>
      <c r="R36" t="s" s="66">
        <v>76</v>
      </c>
      <c r="S36" s="16">
        <f>P36/L28</f>
        <v>-0.01186614198255</v>
      </c>
      <c r="T36" t="s" s="66">
        <f>T31</f>
        <v>66</v>
      </c>
      <c r="U36" s="21"/>
    </row>
    <row r="37" ht="44.05" customHeight="1">
      <c r="J37" s="29"/>
      <c r="K37" t="s" s="65">
        <v>90</v>
      </c>
      <c r="L37" t="s" s="66">
        <v>80</v>
      </c>
      <c r="M37" s="18">
        <f>MAX(G7:G19)</f>
        <v>196.8</v>
      </c>
      <c r="N37" t="s" s="66">
        <f>Q36</f>
        <v>71</v>
      </c>
      <c r="O37" t="s" s="66">
        <v>81</v>
      </c>
      <c r="P37" s="32">
        <f>$B10</f>
        <v>2012</v>
      </c>
      <c r="Q37" s="21"/>
      <c r="R37" s="21"/>
      <c r="S37" s="21"/>
      <c r="T37" s="21"/>
      <c r="U37" s="21"/>
    </row>
    <row r="38" ht="32.05" customHeight="1">
      <c r="J38" s="29"/>
      <c r="K38" t="s" s="65">
        <v>82</v>
      </c>
      <c r="L38" t="s" s="66">
        <f>L36</f>
        <v>88</v>
      </c>
      <c r="M38" t="s" s="66">
        <v>83</v>
      </c>
      <c r="N38" t="s" s="66">
        <v>91</v>
      </c>
      <c r="O38" t="s" s="66">
        <f>IF(Q38&lt;M37,"down","up")</f>
        <v>85</v>
      </c>
      <c r="P38" t="s" s="66">
        <v>86</v>
      </c>
      <c r="Q38" s="18">
        <f>G19</f>
        <v>7.5</v>
      </c>
      <c r="R38" t="s" s="66">
        <f>Q36</f>
        <v>71</v>
      </c>
      <c r="S38" s="21"/>
      <c r="T38" s="21"/>
      <c r="U38" s="21"/>
    </row>
    <row r="39" ht="20.05" customHeight="1">
      <c r="J39" s="29"/>
      <c r="K39" t="s" s="65">
        <v>92</v>
      </c>
      <c r="L39" s="18">
        <f>Q43</f>
        <v>-47.7</v>
      </c>
      <c r="M39" t="s" s="66">
        <f>R38</f>
        <v>71</v>
      </c>
      <c r="N39" t="s" s="66">
        <f>IF(L39&gt;0,"raised","paid")</f>
        <v>72</v>
      </c>
      <c r="O39" s="21"/>
      <c r="P39" s="21"/>
      <c r="Q39" s="21"/>
      <c r="R39" s="21"/>
      <c r="S39" s="21"/>
      <c r="T39" s="21"/>
      <c r="U39" s="21"/>
    </row>
    <row r="40" ht="32.05" customHeight="1">
      <c r="J40" s="29"/>
      <c r="K40" t="s" s="65">
        <f>K35</f>
        <v>58</v>
      </c>
      <c r="L40" t="s" s="66">
        <v>73</v>
      </c>
      <c r="M40" t="s" s="66">
        <f>IF(P40&gt;0,"raised","paid")</f>
        <v>72</v>
      </c>
      <c r="N40" t="s" s="66">
        <v>93</v>
      </c>
      <c r="O40" t="s" s="66">
        <f>O35</f>
        <v>75</v>
      </c>
      <c r="P40" s="18">
        <f>AVERAGE(E7:E19)</f>
        <v>-3.66923076923077</v>
      </c>
      <c r="Q40" t="s" s="66">
        <f>Q35</f>
        <v>71</v>
      </c>
      <c r="R40" t="s" s="66">
        <f>R35</f>
        <v>76</v>
      </c>
      <c r="S40" s="16">
        <f>P40/L28</f>
        <v>-0.0036102498569182</v>
      </c>
      <c r="T40" t="s" s="66">
        <f>T35</f>
        <v>66</v>
      </c>
      <c r="U40" s="21"/>
    </row>
    <row r="41" ht="32.05" customHeight="1">
      <c r="J41" s="29"/>
      <c r="K41" t="s" s="65">
        <v>77</v>
      </c>
      <c r="L41" t="s" s="66">
        <f>N40</f>
        <v>93</v>
      </c>
      <c r="M41" t="s" s="66">
        <v>89</v>
      </c>
      <c r="N41" t="s" s="66">
        <f>IF(P41&gt;0,"raised","paid")</f>
        <v>72</v>
      </c>
      <c r="O41" t="s" s="66">
        <v>75</v>
      </c>
      <c r="P41" s="18">
        <f>AVERAGE(E15:E19)</f>
        <v>-51.98</v>
      </c>
      <c r="Q41" t="s" s="66">
        <f>Q40</f>
        <v>71</v>
      </c>
      <c r="R41" t="s" s="66">
        <v>76</v>
      </c>
      <c r="S41" s="16">
        <f>P41/L28</f>
        <v>-0.051144449440543</v>
      </c>
      <c r="T41" t="s" s="66">
        <f>T36</f>
        <v>66</v>
      </c>
      <c r="U41" s="21"/>
    </row>
    <row r="42" ht="44.05" customHeight="1">
      <c r="J42" s="29"/>
      <c r="K42" t="s" s="65">
        <v>94</v>
      </c>
      <c r="L42" t="s" s="66">
        <v>80</v>
      </c>
      <c r="M42" s="18">
        <f>MAX(H7:H19)</f>
        <v>430.2</v>
      </c>
      <c r="N42" t="s" s="66">
        <f>Q41</f>
        <v>71</v>
      </c>
      <c r="O42" t="s" s="66">
        <v>81</v>
      </c>
      <c r="P42" s="32">
        <f>$B10</f>
        <v>2012</v>
      </c>
      <c r="Q42" s="21"/>
      <c r="R42" s="21"/>
      <c r="S42" s="21"/>
      <c r="T42" s="21"/>
      <c r="U42" s="21"/>
    </row>
    <row r="43" ht="44.05" customHeight="1">
      <c r="J43" s="29"/>
      <c r="K43" t="s" s="65">
        <v>82</v>
      </c>
      <c r="L43" t="s" s="66">
        <f>L41</f>
        <v>93</v>
      </c>
      <c r="M43" t="s" s="66">
        <v>83</v>
      </c>
      <c r="N43" t="s" s="66">
        <v>91</v>
      </c>
      <c r="O43" t="s" s="66">
        <f>IF(Q43&lt;M42,"down","up")</f>
        <v>85</v>
      </c>
      <c r="P43" t="s" s="66">
        <v>86</v>
      </c>
      <c r="Q43" s="32">
        <f>H19</f>
        <v>-47.7</v>
      </c>
      <c r="R43" t="s" s="66">
        <f>Q41</f>
        <v>71</v>
      </c>
      <c r="S43" s="16">
        <f>AVERAGE(E11:E19)/L28</f>
        <v>-0.0522464460425709</v>
      </c>
      <c r="T43" t="s" s="66">
        <f>T41</f>
        <v>66</v>
      </c>
      <c r="U43" t="s" s="66">
        <v>67</v>
      </c>
    </row>
  </sheetData>
  <mergeCells count="2">
    <mergeCell ref="B1:I1"/>
    <mergeCell ref="J21:U2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