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<sst xmlns="http://schemas.openxmlformats.org/spreadsheetml/2006/main" uniqueCount="71">
  <si>
    <t>Financial model</t>
  </si>
  <si>
    <t>Rpbn</t>
  </si>
  <si>
    <t>4Q 2022</t>
  </si>
  <si>
    <t>Cash 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</si>
  <si>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</si>
  <si>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</si>
  <si>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</si>
  <si>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</si>
  <si>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</si>
  <si>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</si>
  <si>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</si>
  <si>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</si>
  <si>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</si>
  <si>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</si>
  <si>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</si>
  <si>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</si>
  <si>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</si>
  <si>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</si>
  <si>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</si>
  <si>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</si>
  <si>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>JV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</si>
  <si>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</si>
  <si>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</si>
  <si>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</si>
  <si>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</si>
  <si>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</si>
  <si>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</si>
  <si>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</si>
  <si>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</si>
  <si>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</si>
  <si>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</si>
  <si>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</si>
  <si>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</si>
  <si>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</si>
  <si>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</si>
  <si>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</si>
  <si>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</si>
  <si>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</si>
  <si>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</si>
  <si>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</si>
  <si>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</si>
  <si>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</si>
  <si>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</si>
  <si>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</si>
  <si>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Order book</t>
  </si>
  <si>
    <t>Recovery</t>
  </si>
  <si>
    <t xml:space="preserve">Profit </t>
  </si>
  <si>
    <t xml:space="preserve">Sales growth </t>
  </si>
  <si>
    <t xml:space="preserve">Cashflow costs </t>
  </si>
  <si>
    <t>Cashflow</t>
  </si>
  <si>
    <t>Receipts</t>
  </si>
  <si>
    <t xml:space="preserve">Investment </t>
  </si>
  <si>
    <t xml:space="preserve">Interest </t>
  </si>
  <si>
    <t xml:space="preserve">Beginning </t>
  </si>
  <si>
    <t xml:space="preserve">Change </t>
  </si>
  <si>
    <t xml:space="preserve">Ending </t>
  </si>
  <si>
    <t xml:space="preserve">Free cashflow </t>
  </si>
  <si>
    <t xml:space="preserve">Capital </t>
  </si>
  <si>
    <t>Cash</t>
  </si>
  <si>
    <t>Assets</t>
  </si>
  <si>
    <t>Net cash</t>
  </si>
  <si>
    <t>Capital raised/paid</t>
  </si>
  <si>
    <t>Rp bn</t>
  </si>
  <si>
    <t>Debt</t>
  </si>
  <si>
    <t>Total</t>
  </si>
  <si>
    <t>Capital paid (raised)</t>
  </si>
  <si>
    <t>Next 12m</t>
  </si>
  <si>
    <t>WEGE share price, quarterly</t>
  </si>
  <si>
    <t>WEGE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</si>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</sst>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9487"/>
          <c:y val="0.0426778"/>
          <c:w val="0.760567"/>
          <c:h val="0.886395"/>
        </c:manualLayout>
      </c:layout>
      <c:barChart>
        <c:barDir val="col"/>
        <c:grouping val="clustered"/>
        <c:varyColors val="0"/>
        <c:ser>
          <c:idx val="1"/>
          <c:order val="0"/>
          <c:tx>
            <c:v>Region 2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</c:ser>
        <c:gapWidth val="40"/>
        <c:overlap val="-10"/>
        <c:axId val="2094734555"/>
        <c:axId val="2094734556"/>
      </c:barChart>
      <c:lineChart>
        <c:grouping val="standard"/>
        <c:varyColors val="0"/>
        <c:ser>
          <c:idx val="0"/>
          <c:order val="1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1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.5"/>
        <c:minorUnit val="1.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7.5"/>
        <c:minorUnit val="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67149"/>
          <c:y val="0.0732916"/>
          <c:w val="0.306539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553277</xdr:colOff>
      <xdr:row>2</xdr:row>
      <xdr:rowOff>212698</xdr:rowOff>
    </xdr:from>
    <xdr:to>
      <xdr:col>13</xdr:col>
      <xdr:colOff>214216</xdr:colOff>
      <xdr:row>47</xdr:row>
      <xdr:rowOff>226131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63377" y="1119478"/>
          <a:ext cx="8373140" cy="115012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186211</xdr:colOff>
      <xdr:row>8</xdr:row>
      <xdr:rowOff>141220</xdr:rowOff>
    </xdr:from>
    <xdr:to>
      <xdr:col>13</xdr:col>
      <xdr:colOff>66156</xdr:colOff>
      <xdr:row>22</xdr:row>
      <xdr:rowOff>65859</xdr:rowOff>
    </xdr:to>
    <xdr:graphicFrame>
      <xdr:nvGraphicFramePr>
        <xdr:cNvPr id="4" name="2 Axis Chart"/>
        <xdr:cNvGraphicFramePr/>
      </xdr:nvGraphicFramePr>
      <xdr:xfrm>
        <a:off x="9101611" y="2637405"/>
        <a:ext cx="3613746" cy="348762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57812" style="1" customWidth="1"/>
    <col min="2" max="2" width="15.6172" style="1" customWidth="1"/>
    <col min="3" max="6" width="8.90625" style="1" customWidth="1"/>
    <col min="7" max="16384" width="16.3516" style="1" customWidth="1"/>
  </cols>
  <sheetData>
    <row r="1" ht="43.7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AVERAGE('Sales'!J20:J23)</f>
        <v>0.112145703995214</v>
      </c>
      <c r="D4" s="8"/>
      <c r="E4" s="8"/>
      <c r="F4" s="9">
        <f>AVERAGE(C5:F5)</f>
        <v>0.135</v>
      </c>
    </row>
    <row r="5" ht="20.1" customHeight="1">
      <c r="B5" t="s" s="10">
        <v>4</v>
      </c>
      <c r="C5" s="11">
        <v>0.1</v>
      </c>
      <c r="D5" s="12">
        <v>0.25</v>
      </c>
      <c r="E5" s="12">
        <v>0.15</v>
      </c>
      <c r="F5" s="12">
        <v>0.04</v>
      </c>
    </row>
    <row r="6" ht="20.1" customHeight="1">
      <c r="B6" t="s" s="10">
        <v>5</v>
      </c>
      <c r="C6" s="13">
        <f>'Sales'!D23*(1+C5)</f>
        <v>790.9</v>
      </c>
      <c r="D6" s="14">
        <f>C6*(1+D5)</f>
        <v>988.625</v>
      </c>
      <c r="E6" s="14">
        <f>D6*(1+E5)</f>
        <v>1136.91875</v>
      </c>
      <c r="F6" s="14">
        <f>E6*(1+F5)</f>
        <v>1182.3955</v>
      </c>
    </row>
    <row r="7" ht="20.1" customHeight="1">
      <c r="B7" t="s" s="10">
        <v>6</v>
      </c>
      <c r="C7" s="15">
        <f>AVERAGE('Sales'!K23)</f>
        <v>-0.934350486787204</v>
      </c>
      <c r="D7" s="16">
        <f>C7</f>
        <v>-0.934350486787204</v>
      </c>
      <c r="E7" s="16">
        <f>D7</f>
        <v>-0.934350486787204</v>
      </c>
      <c r="F7" s="16">
        <f>E7</f>
        <v>-0.934350486787204</v>
      </c>
    </row>
    <row r="8" ht="20.1" customHeight="1">
      <c r="B8" t="s" s="10">
        <v>7</v>
      </c>
      <c r="C8" s="17">
        <f>C7*C6</f>
        <v>-738.9778</v>
      </c>
      <c r="D8" s="18">
        <f>D7*D6</f>
        <v>-923.72225</v>
      </c>
      <c r="E8" s="18">
        <f>E7*E6</f>
        <v>-1062.2805875</v>
      </c>
      <c r="F8" s="18">
        <f>F7*F6</f>
        <v>-1104.771811</v>
      </c>
    </row>
    <row r="9" ht="20.1" customHeight="1">
      <c r="B9" t="s" s="10">
        <v>8</v>
      </c>
      <c r="C9" s="19">
        <f>C6+C8</f>
        <v>51.9222</v>
      </c>
      <c r="D9" s="20">
        <f>D6+D8</f>
        <v>64.90275</v>
      </c>
      <c r="E9" s="20">
        <f>E6+E8</f>
        <v>74.63816250000001</v>
      </c>
      <c r="F9" s="20">
        <f>F6+F8</f>
        <v>77.623689</v>
      </c>
    </row>
    <row r="10" ht="20.05" customHeight="1">
      <c r="B10" t="s" s="10">
        <v>9</v>
      </c>
      <c r="C10" s="17">
        <f>AVERAGE('Cashflow '!E20:E23)</f>
        <v>-24.43725</v>
      </c>
      <c r="D10" s="18">
        <f>C10</f>
        <v>-24.43725</v>
      </c>
      <c r="E10" s="18">
        <f>D10</f>
        <v>-24.43725</v>
      </c>
      <c r="F10" s="18">
        <f>E10</f>
        <v>-24.43725</v>
      </c>
    </row>
    <row r="11" ht="20.1" customHeight="1">
      <c r="B11" t="s" s="10">
        <v>10</v>
      </c>
      <c r="C11" s="17">
        <f>C12+C13+C15</f>
        <v>-27.48495</v>
      </c>
      <c r="D11" s="18">
        <f>D12+D13+D15</f>
        <v>-40.4655</v>
      </c>
      <c r="E11" s="18">
        <f>E12+E13+E15</f>
        <v>-50.2009125</v>
      </c>
      <c r="F11" s="18">
        <f>F12+F13+F15</f>
        <v>-53.186439</v>
      </c>
    </row>
    <row r="12" ht="20.1" customHeight="1">
      <c r="B12" t="s" s="10">
        <v>11</v>
      </c>
      <c r="C12" s="17">
        <f>-'Balance sheet'!G23/20</f>
        <v>-179.6</v>
      </c>
      <c r="D12" s="18">
        <f>-C27/20</f>
        <v>-170.62</v>
      </c>
      <c r="E12" s="18">
        <f>-D27/20</f>
        <v>-162.089</v>
      </c>
      <c r="F12" s="18">
        <f>-E27/20</f>
        <v>-153.98455</v>
      </c>
    </row>
    <row r="13" ht="20.1" customHeight="1">
      <c r="B13" t="s" s="10">
        <v>12</v>
      </c>
      <c r="C13" s="17">
        <f>IF(C22&gt;0,-C22*0.25,0)</f>
        <v>-17.30505</v>
      </c>
      <c r="D13" s="18">
        <f>IF(D22&gt;0,-D22*0.25,0)</f>
        <v>-20.5501875</v>
      </c>
      <c r="E13" s="18">
        <f>IF(E22&gt;0,-E22*0.25,0)</f>
        <v>-22.984040625</v>
      </c>
      <c r="F13" s="18">
        <f>IF(F22&gt;0,-F22*0.25,0)</f>
        <v>-23.73042225</v>
      </c>
    </row>
    <row r="14" ht="20.05" customHeight="1">
      <c r="B14" t="s" s="10">
        <v>13</v>
      </c>
      <c r="C14" s="17">
        <f>C9+C10+C12+C13</f>
        <v>-169.4201</v>
      </c>
      <c r="D14" s="18">
        <f>D9+D10+D12+D13</f>
        <v>-150.7046875</v>
      </c>
      <c r="E14" s="18">
        <f>E9+E10+E12+E13</f>
        <v>-134.872128125</v>
      </c>
      <c r="F14" s="18">
        <f>F9+F10+F12+F13</f>
        <v>-124.52853325</v>
      </c>
    </row>
    <row r="15" ht="20.1" customHeight="1">
      <c r="B15" t="s" s="10">
        <v>14</v>
      </c>
      <c r="C15" s="17">
        <f>-MIN(0,C14)</f>
        <v>169.4201</v>
      </c>
      <c r="D15" s="18">
        <f>-MIN(C28,D14)</f>
        <v>150.7046875</v>
      </c>
      <c r="E15" s="18">
        <f>-MIN(D28,E14)</f>
        <v>134.872128125</v>
      </c>
      <c r="F15" s="18">
        <f>-MIN(E28,F14)</f>
        <v>124.52853325</v>
      </c>
    </row>
    <row r="16" ht="20.1" customHeight="1">
      <c r="B16" t="s" s="10">
        <v>15</v>
      </c>
      <c r="C16" s="17">
        <f>'Balance sheet'!C23</f>
        <v>1467.997</v>
      </c>
      <c r="D16" s="18">
        <f>C18</f>
        <v>1467.997</v>
      </c>
      <c r="E16" s="18">
        <f>D18</f>
        <v>1467.997</v>
      </c>
      <c r="F16" s="18">
        <f>E18</f>
        <v>1467.997</v>
      </c>
    </row>
    <row r="17" ht="20.1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1" customHeight="1">
      <c r="B18" t="s" s="10">
        <v>17</v>
      </c>
      <c r="C18" s="17">
        <f>C16+C17</f>
        <v>1467.997</v>
      </c>
      <c r="D18" s="18">
        <f>D16+D17</f>
        <v>1467.997</v>
      </c>
      <c r="E18" s="18">
        <f>E16+E17</f>
        <v>1467.997</v>
      </c>
      <c r="F18" s="18">
        <f>F16+F17</f>
        <v>1467.997</v>
      </c>
    </row>
    <row r="19" ht="20.1" customHeight="1">
      <c r="B19" t="s" s="21">
        <v>18</v>
      </c>
      <c r="C19" s="22"/>
      <c r="D19" s="23"/>
      <c r="E19" s="23"/>
      <c r="F19" s="24"/>
    </row>
    <row r="20" ht="20.1" customHeight="1">
      <c r="B20" t="s" s="10">
        <v>19</v>
      </c>
      <c r="C20" s="17">
        <f>-AVERAGE('Sales'!F23)</f>
        <v>-12.25</v>
      </c>
      <c r="D20" s="18">
        <f>C20</f>
        <v>-12.25</v>
      </c>
      <c r="E20" s="18">
        <f>D20</f>
        <v>-12.25</v>
      </c>
      <c r="F20" s="18">
        <f>E20</f>
        <v>-12.25</v>
      </c>
    </row>
    <row r="21" ht="20.1" customHeight="1">
      <c r="B21" t="s" s="10">
        <v>20</v>
      </c>
      <c r="C21" s="17">
        <f>'Sales'!G23</f>
        <v>29.548</v>
      </c>
      <c r="D21" s="18">
        <f>C21</f>
        <v>29.548</v>
      </c>
      <c r="E21" s="18">
        <f>D21</f>
        <v>29.548</v>
      </c>
      <c r="F21" s="18">
        <f>E21</f>
        <v>29.548</v>
      </c>
    </row>
    <row r="22" ht="20.1" customHeight="1">
      <c r="B22" t="s" s="10">
        <v>21</v>
      </c>
      <c r="C22" s="17">
        <f>C6+C8+C20+C21</f>
        <v>69.22020000000001</v>
      </c>
      <c r="D22" s="18">
        <f>D6+D8+D20+D21</f>
        <v>82.20075</v>
      </c>
      <c r="E22" s="18">
        <f>E6+E8+E20+E21</f>
        <v>91.93616249999999</v>
      </c>
      <c r="F22" s="18">
        <f>F6+F8+F20+F21</f>
        <v>94.921689</v>
      </c>
    </row>
    <row r="23" ht="20.1" customHeight="1">
      <c r="B23" t="s" s="21">
        <v>22</v>
      </c>
      <c r="C23" s="22"/>
      <c r="D23" s="23"/>
      <c r="E23" s="23"/>
      <c r="F23" s="23"/>
    </row>
    <row r="24" ht="20.1" customHeight="1">
      <c r="B24" t="s" s="10">
        <v>23</v>
      </c>
      <c r="C24" s="17">
        <f>'Balance sheet'!F23+'Balance sheet'!E23-C10+C21</f>
        <v>4717.38825</v>
      </c>
      <c r="D24" s="18">
        <f>C24-D10+D21</f>
        <v>4771.3735</v>
      </c>
      <c r="E24" s="18">
        <f>D24-E10+E21</f>
        <v>4825.35875</v>
      </c>
      <c r="F24" s="18">
        <f>E24-F10+F21</f>
        <v>4879.344</v>
      </c>
    </row>
    <row r="25" ht="20.1" customHeight="1">
      <c r="B25" t="s" s="10">
        <v>24</v>
      </c>
      <c r="C25" s="17">
        <f>'Balance sheet'!F23-C20</f>
        <v>169.65</v>
      </c>
      <c r="D25" s="18">
        <f>C25-D20</f>
        <v>181.9</v>
      </c>
      <c r="E25" s="18">
        <f>D25-E20</f>
        <v>194.15</v>
      </c>
      <c r="F25" s="18">
        <f>E25-F20</f>
        <v>206.4</v>
      </c>
    </row>
    <row r="26" ht="20.1" customHeight="1">
      <c r="B26" t="s" s="10">
        <v>25</v>
      </c>
      <c r="C26" s="17">
        <f>C24-C25</f>
        <v>4547.73825</v>
      </c>
      <c r="D26" s="18">
        <f>D24-D25</f>
        <v>4589.4735</v>
      </c>
      <c r="E26" s="18">
        <f>E24-E25</f>
        <v>4631.20875</v>
      </c>
      <c r="F26" s="18">
        <f>F24-F25</f>
        <v>4672.944</v>
      </c>
    </row>
    <row r="27" ht="20.1" customHeight="1">
      <c r="B27" t="s" s="10">
        <v>11</v>
      </c>
      <c r="C27" s="17">
        <f>'Balance sheet'!G23+C12</f>
        <v>3412.4</v>
      </c>
      <c r="D27" s="18">
        <f>C27+D12</f>
        <v>3241.78</v>
      </c>
      <c r="E27" s="18">
        <f>D27+E12</f>
        <v>3079.691</v>
      </c>
      <c r="F27" s="18">
        <f>E27+F12</f>
        <v>2925.70645</v>
      </c>
    </row>
    <row r="28" ht="20.1" customHeight="1">
      <c r="B28" t="s" s="10">
        <v>14</v>
      </c>
      <c r="C28" s="17">
        <f>C15</f>
        <v>169.4201</v>
      </c>
      <c r="D28" s="18">
        <f>C28+D15</f>
        <v>320.1247875</v>
      </c>
      <c r="E28" s="18">
        <f>D28+E15</f>
        <v>454.996915625</v>
      </c>
      <c r="F28" s="18">
        <f>E28+F15</f>
        <v>579.5254488750001</v>
      </c>
    </row>
    <row r="29" ht="20.1" customHeight="1">
      <c r="B29" t="s" s="10">
        <v>26</v>
      </c>
      <c r="C29" s="17">
        <f>'Balance sheet'!H23+C22+C13</f>
        <v>2433.91515</v>
      </c>
      <c r="D29" s="18">
        <f>C29+D22+D13</f>
        <v>2495.5657125</v>
      </c>
      <c r="E29" s="18">
        <f>D29+E22+E13</f>
        <v>2564.517834375</v>
      </c>
      <c r="F29" s="18">
        <f>E29+F22+F13</f>
        <v>2635.709101125</v>
      </c>
    </row>
    <row r="30" ht="20.1" customHeight="1">
      <c r="B30" t="s" s="10">
        <v>27</v>
      </c>
      <c r="C30" s="17">
        <f>C27+C28+C29-C18-C26</f>
        <v>0</v>
      </c>
      <c r="D30" s="18">
        <f>D27+D28+D29-D18-D26</f>
        <v>0</v>
      </c>
      <c r="E30" s="18">
        <f>E27+E28+E29-E18-E26</f>
        <v>0</v>
      </c>
      <c r="F30" s="18">
        <f>F27+F28+F29-F18-F26</f>
        <v>0</v>
      </c>
    </row>
    <row r="31" ht="20.1" customHeight="1">
      <c r="B31" t="s" s="10">
        <v>28</v>
      </c>
      <c r="C31" s="17">
        <f>C18-C27-C28</f>
        <v>-2113.8231</v>
      </c>
      <c r="D31" s="18">
        <f>D18-D27-D28</f>
        <v>-2093.9077875</v>
      </c>
      <c r="E31" s="18">
        <f>E18-E27-E28</f>
        <v>-2066.690915625</v>
      </c>
      <c r="F31" s="18">
        <f>F18-F27-F28</f>
        <v>-2037.234898875</v>
      </c>
    </row>
    <row r="32" ht="20.1" customHeight="1">
      <c r="B32" t="s" s="21">
        <v>29</v>
      </c>
      <c r="C32" s="17"/>
      <c r="D32" s="18"/>
      <c r="E32" s="18"/>
      <c r="F32" s="18"/>
    </row>
    <row r="33" ht="20.1" customHeight="1">
      <c r="B33" t="s" s="10">
        <v>30</v>
      </c>
      <c r="C33" s="17">
        <f>-C11+'Cashflow '!P23</f>
        <v>-509.51505</v>
      </c>
      <c r="D33" s="18">
        <f>-D11+C33</f>
        <v>-469.04955</v>
      </c>
      <c r="E33" s="18">
        <f>-E11+D33</f>
        <v>-418.8486375</v>
      </c>
      <c r="F33" s="18">
        <f>-F11+E33</f>
        <v>-365.6621985</v>
      </c>
    </row>
    <row r="34" ht="20.1" customHeight="1">
      <c r="B34" t="s" s="10">
        <v>31</v>
      </c>
      <c r="C34" s="17"/>
      <c r="D34" s="18"/>
      <c r="E34" s="18"/>
      <c r="F34" s="18">
        <v>1742103953408</v>
      </c>
    </row>
    <row r="35" ht="20.1" customHeight="1">
      <c r="B35" t="s" s="10">
        <v>31</v>
      </c>
      <c r="C35" s="17"/>
      <c r="D35" s="18"/>
      <c r="E35" s="18"/>
      <c r="F35" s="18">
        <f>F34/1000000000</f>
        <v>1742.103953408</v>
      </c>
    </row>
    <row r="36" ht="20.1" customHeight="1">
      <c r="B36" t="s" s="10">
        <v>32</v>
      </c>
      <c r="C36" s="17"/>
      <c r="D36" s="18"/>
      <c r="E36" s="18"/>
      <c r="F36" s="25">
        <f>F35/(F22+F26)</f>
        <v>0.365384443908986</v>
      </c>
    </row>
    <row r="37" ht="20.1" customHeight="1">
      <c r="B37" t="s" s="10">
        <v>33</v>
      </c>
      <c r="C37" s="17"/>
      <c r="D37" s="18"/>
      <c r="E37" s="18"/>
      <c r="F37" s="16">
        <f>-(C13+D13+E13+F13)/F35</f>
        <v>0.0485445774975483</v>
      </c>
    </row>
    <row r="38" ht="20.1" customHeight="1">
      <c r="B38" t="s" s="10">
        <v>34</v>
      </c>
      <c r="C38" s="17"/>
      <c r="D38" s="18"/>
      <c r="E38" s="18"/>
      <c r="F38" s="18">
        <f>SUM(C9:F10)</f>
        <v>171.3378015</v>
      </c>
    </row>
    <row r="39" ht="20.1" customHeight="1">
      <c r="B39" t="s" s="10">
        <v>35</v>
      </c>
      <c r="C39" s="17"/>
      <c r="D39" s="18"/>
      <c r="E39" s="18"/>
      <c r="F39" s="18">
        <f>'Balance sheet'!E23/F38</f>
        <v>26.2989425599698</v>
      </c>
    </row>
    <row r="40" ht="20.1" customHeight="1">
      <c r="B40" t="s" s="10">
        <v>29</v>
      </c>
      <c r="C40" s="17"/>
      <c r="D40" s="18"/>
      <c r="E40" s="18"/>
      <c r="F40" s="18">
        <f>F35/F38</f>
        <v>10.1676567468271</v>
      </c>
    </row>
    <row r="41" ht="20.1" customHeight="1">
      <c r="B41" t="s" s="10">
        <v>36</v>
      </c>
      <c r="C41" s="17"/>
      <c r="D41" s="18"/>
      <c r="E41" s="18"/>
      <c r="F41" s="18">
        <v>15</v>
      </c>
    </row>
    <row r="42" ht="20.1" customHeight="1">
      <c r="B42" t="s" s="10">
        <v>37</v>
      </c>
      <c r="C42" s="17"/>
      <c r="D42" s="18"/>
      <c r="E42" s="18"/>
      <c r="F42" s="18">
        <f>F38*F41</f>
        <v>2570.0670225</v>
      </c>
    </row>
    <row r="43" ht="20.1" customHeight="1">
      <c r="B43" t="s" s="10">
        <v>38</v>
      </c>
      <c r="C43" s="17"/>
      <c r="D43" s="18"/>
      <c r="E43" s="18"/>
      <c r="F43" s="18">
        <f>F35/F45</f>
        <v>9.571999743999999</v>
      </c>
    </row>
    <row r="44" ht="20.1" customHeight="1">
      <c r="B44" t="s" s="10">
        <v>39</v>
      </c>
      <c r="C44" s="17"/>
      <c r="D44" s="18"/>
      <c r="E44" s="18"/>
      <c r="F44" s="18">
        <f>F42/F43</f>
        <v>268.498442460886</v>
      </c>
    </row>
    <row r="45" ht="20.1" customHeight="1">
      <c r="B45" t="s" s="10">
        <v>40</v>
      </c>
      <c r="C45" s="17"/>
      <c r="D45" s="18"/>
      <c r="E45" s="18"/>
      <c r="F45" s="18">
        <v>182</v>
      </c>
    </row>
    <row r="46" ht="20.1" customHeight="1">
      <c r="B46" t="s" s="10">
        <v>41</v>
      </c>
      <c r="C46" s="17"/>
      <c r="D46" s="18"/>
      <c r="E46" s="18"/>
      <c r="F46" s="16">
        <f>F44/F45-1</f>
        <v>0.475266167367505</v>
      </c>
    </row>
    <row r="47" ht="20.1" customHeight="1">
      <c r="B47" t="s" s="10">
        <v>42</v>
      </c>
      <c r="C47" s="17"/>
      <c r="D47" s="18"/>
      <c r="E47" s="18"/>
      <c r="F47" s="16">
        <f>'Sales'!D23/'Sales'!D19-1</f>
        <v>0.0667655786350148</v>
      </c>
    </row>
    <row r="48" ht="20.1" customHeight="1">
      <c r="B48" t="s" s="10">
        <v>43</v>
      </c>
      <c r="C48" s="17"/>
      <c r="D48" s="18"/>
      <c r="E48" s="18"/>
      <c r="F48" s="16">
        <f>('Sales'!E16+'Sales'!E23+'Sales'!E22+'Sales'!E17+'Sales'!E18+'Sales'!E19+'Sales'!E20+'Sales'!E21)/('Sales'!D16+'Sales'!D17+'Sales'!D18+'Sales'!D19+'Sales'!D20+'Sales'!D22+'Sales'!D23+'Sales'!D21)-1</f>
        <v>0.115886584141853</v>
      </c>
    </row>
  </sheetData>
  <mergeCells count="1">
    <mergeCell ref="B2:F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125" style="26" customWidth="1"/>
    <col min="2" max="2" width="7.57031" style="26" customWidth="1"/>
    <col min="3" max="14" width="9.13281" style="26" customWidth="1"/>
    <col min="15" max="16384" width="16.3516" style="26" customWidth="1"/>
  </cols>
  <sheetData>
    <row r="1" ht="39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44</v>
      </c>
      <c r="D3" t="s" s="5">
        <v>5</v>
      </c>
      <c r="E3" t="s" s="5">
        <v>36</v>
      </c>
      <c r="F3" t="s" s="5">
        <v>24</v>
      </c>
      <c r="G3" t="s" s="5">
        <v>20</v>
      </c>
      <c r="H3" t="s" s="5">
        <v>45</v>
      </c>
      <c r="I3" t="s" s="5">
        <v>46</v>
      </c>
      <c r="J3" t="s" s="5">
        <v>47</v>
      </c>
      <c r="K3" t="s" s="5">
        <v>6</v>
      </c>
      <c r="L3" t="s" s="5">
        <v>48</v>
      </c>
      <c r="M3" t="s" s="5">
        <v>36</v>
      </c>
      <c r="N3" t="s" s="5">
        <v>48</v>
      </c>
    </row>
    <row r="4" ht="20.25" customHeight="1">
      <c r="B4" s="27">
        <v>2017</v>
      </c>
      <c r="C4" s="28"/>
      <c r="D4" s="29">
        <v>566</v>
      </c>
      <c r="E4" s="30"/>
      <c r="F4" s="31"/>
      <c r="G4" s="30"/>
      <c r="H4" s="29"/>
      <c r="I4" s="32">
        <v>42</v>
      </c>
      <c r="J4" s="9"/>
      <c r="K4" s="9">
        <f>(I4+F4-G4-H4-D4)/D4</f>
        <v>-0.925795053003534</v>
      </c>
      <c r="L4" s="9"/>
      <c r="M4" s="9"/>
      <c r="N4" s="9">
        <f>('Cashflow '!D4+'Cashflow '!F4-'Cashflow '!C4)/'Cashflow '!C4</f>
        <v>-0.863134657836645</v>
      </c>
    </row>
    <row r="5" ht="20.05" customHeight="1">
      <c r="B5" s="33"/>
      <c r="C5" s="17"/>
      <c r="D5" s="18">
        <v>740</v>
      </c>
      <c r="E5" s="23"/>
      <c r="F5" s="18">
        <v>0</v>
      </c>
      <c r="G5" s="18">
        <v>0</v>
      </c>
      <c r="H5" s="18"/>
      <c r="I5" s="14">
        <v>64</v>
      </c>
      <c r="J5" s="12">
        <f>D5/D4-1</f>
        <v>0.307420494699647</v>
      </c>
      <c r="K5" s="12">
        <f>(I5+F5-G5-H5-D5)/D5</f>
        <v>-0.913513513513514</v>
      </c>
      <c r="L5" s="12"/>
      <c r="M5" s="12"/>
      <c r="N5" s="12">
        <f>('Cashflow '!D5+'Cashflow '!F5-'Cashflow '!C5)/'Cashflow '!C5</f>
        <v>-0.780141843971631</v>
      </c>
    </row>
    <row r="6" ht="20.05" customHeight="1">
      <c r="B6" s="33"/>
      <c r="C6" s="17"/>
      <c r="D6" s="18">
        <v>1098</v>
      </c>
      <c r="E6" s="23"/>
      <c r="F6" s="18">
        <v>8</v>
      </c>
      <c r="G6" s="18">
        <v>0</v>
      </c>
      <c r="H6" s="18"/>
      <c r="I6" s="18">
        <v>69</v>
      </c>
      <c r="J6" s="12">
        <f>D6/D5-1</f>
        <v>0.483783783783784</v>
      </c>
      <c r="K6" s="12">
        <f>(I6+F6-G6-H6-D6)/D6</f>
        <v>-0.929872495446266</v>
      </c>
      <c r="L6" s="12"/>
      <c r="M6" s="12"/>
      <c r="N6" s="12">
        <f>('Cashflow '!D6+'Cashflow '!F6-'Cashflow '!C6)/'Cashflow '!C6</f>
        <v>-0.928010471204188</v>
      </c>
    </row>
    <row r="7" ht="20.05" customHeight="1">
      <c r="B7" s="33"/>
      <c r="C7" s="17">
        <v>12945</v>
      </c>
      <c r="D7" s="18">
        <v>1495</v>
      </c>
      <c r="E7" s="23"/>
      <c r="F7" s="18">
        <v>5.5</v>
      </c>
      <c r="G7" s="18">
        <v>0</v>
      </c>
      <c r="H7" s="18"/>
      <c r="I7" s="18">
        <v>121</v>
      </c>
      <c r="J7" s="12">
        <f>D7/D6-1</f>
        <v>0.361566484517304</v>
      </c>
      <c r="K7" s="12">
        <f>(I7+F7-G7-H7-D7)/D7</f>
        <v>-0.915384615384615</v>
      </c>
      <c r="L7" s="12"/>
      <c r="M7" s="12"/>
      <c r="N7" s="12">
        <f>('Cashflow '!D7+'Cashflow '!F7-'Cashflow '!C7)/'Cashflow '!C7</f>
        <v>-0.775936157151627</v>
      </c>
    </row>
    <row r="8" ht="20.05" customHeight="1">
      <c r="B8" s="34">
        <v>2018</v>
      </c>
      <c r="C8" s="17"/>
      <c r="D8" s="18">
        <v>1190</v>
      </c>
      <c r="E8" s="23"/>
      <c r="F8" s="18">
        <v>4.5</v>
      </c>
      <c r="G8" s="18">
        <v>4</v>
      </c>
      <c r="H8" s="18"/>
      <c r="I8" s="14">
        <v>75</v>
      </c>
      <c r="J8" s="12">
        <f>D8/D7-1</f>
        <v>-0.204013377926421</v>
      </c>
      <c r="K8" s="12">
        <f>(I8+F8-G8-H8-D8)/D8</f>
        <v>-0.9365546218487391</v>
      </c>
      <c r="L8" s="12">
        <f>AVERAGE(K5:K8)</f>
        <v>-0.923831311548284</v>
      </c>
      <c r="M8" s="12"/>
      <c r="N8" s="12">
        <f>('Cashflow '!D8+'Cashflow '!F8-'Cashflow '!C8)/'Cashflow '!C8</f>
        <v>-1.16610549943883</v>
      </c>
    </row>
    <row r="9" ht="20.05" customHeight="1">
      <c r="B9" s="33"/>
      <c r="C9" s="17"/>
      <c r="D9" s="18">
        <v>1214</v>
      </c>
      <c r="E9" s="23"/>
      <c r="F9" s="18">
        <v>4.9</v>
      </c>
      <c r="G9" s="18">
        <v>1.6</v>
      </c>
      <c r="H9" s="18"/>
      <c r="I9" s="14">
        <v>105</v>
      </c>
      <c r="J9" s="12">
        <f>D9/D8-1</f>
        <v>0.0201680672268908</v>
      </c>
      <c r="K9" s="12">
        <f>(I9+F9-G9-H9-D9)/D9</f>
        <v>-0.910790774299835</v>
      </c>
      <c r="L9" s="12">
        <f>AVERAGE(K6:K9)</f>
        <v>-0.923150626744864</v>
      </c>
      <c r="M9" s="12"/>
      <c r="N9" s="12">
        <f>('Cashflow '!D9+'Cashflow '!F9-'Cashflow '!C9)/'Cashflow '!C9</f>
        <v>-0.53740157480315</v>
      </c>
    </row>
    <row r="10" ht="20.05" customHeight="1">
      <c r="B10" s="33"/>
      <c r="C10" s="17"/>
      <c r="D10" s="18">
        <v>1464</v>
      </c>
      <c r="E10" s="23"/>
      <c r="F10" s="18">
        <v>3.8</v>
      </c>
      <c r="G10" s="18">
        <v>8.1</v>
      </c>
      <c r="H10" s="18"/>
      <c r="I10" s="18">
        <v>108</v>
      </c>
      <c r="J10" s="12">
        <f>D10/D9-1</f>
        <v>0.205930807248764</v>
      </c>
      <c r="K10" s="12">
        <f>(I10+F10-G10-H10-D10)/D10</f>
        <v>-0.929166666666667</v>
      </c>
      <c r="L10" s="12">
        <f>AVERAGE(K7:K10)</f>
        <v>-0.922974169549964</v>
      </c>
      <c r="M10" s="12"/>
      <c r="N10" s="12">
        <f>('Cashflow '!D10+'Cashflow '!F10-'Cashflow '!C10)/'Cashflow '!C10</f>
        <v>-1.20717948717949</v>
      </c>
    </row>
    <row r="11" ht="20.05" customHeight="1">
      <c r="B11" s="33"/>
      <c r="C11" s="17">
        <v>16416</v>
      </c>
      <c r="D11" s="18">
        <v>1930</v>
      </c>
      <c r="E11" s="23"/>
      <c r="F11" s="18">
        <v>5.7</v>
      </c>
      <c r="G11" s="18">
        <v>37.7</v>
      </c>
      <c r="H11" s="18"/>
      <c r="I11" s="18">
        <v>157</v>
      </c>
      <c r="J11" s="12">
        <f>D11/D10-1</f>
        <v>0.318306010928962</v>
      </c>
      <c r="K11" s="12">
        <f>(I11+F11-G11-H11-D11)/D11</f>
        <v>-0.935233160621762</v>
      </c>
      <c r="L11" s="12">
        <f>AVERAGE(K8:K11)</f>
        <v>-0.927936305859251</v>
      </c>
      <c r="M11" s="12"/>
      <c r="N11" s="12">
        <f>('Cashflow '!D11+'Cashflow '!F11-'Cashflow '!C11)/'Cashflow '!C11</f>
        <v>-0.607915567282322</v>
      </c>
    </row>
    <row r="12" ht="20.05" customHeight="1">
      <c r="B12" s="34">
        <v>2019</v>
      </c>
      <c r="C12" s="17"/>
      <c r="D12" s="18">
        <v>1032</v>
      </c>
      <c r="E12" s="23"/>
      <c r="F12" s="18">
        <v>6.75</v>
      </c>
      <c r="G12" s="18">
        <v>13.8</v>
      </c>
      <c r="H12" s="18"/>
      <c r="I12" s="14">
        <v>78</v>
      </c>
      <c r="J12" s="12">
        <f>D12/D11-1</f>
        <v>-0.465284974093264</v>
      </c>
      <c r="K12" s="12">
        <f>(I12+F12-G12-H12-D12)/D12</f>
        <v>-0.93125</v>
      </c>
      <c r="L12" s="12">
        <f>AVERAGE(K9:K12)</f>
        <v>-0.926610150397066</v>
      </c>
      <c r="M12" s="12"/>
      <c r="N12" s="12">
        <f>('Cashflow '!D12+'Cashflow '!F12-'Cashflow '!C12)/'Cashflow '!C12</f>
        <v>-3.42171717171717</v>
      </c>
    </row>
    <row r="13" ht="20.05" customHeight="1">
      <c r="B13" s="33"/>
      <c r="C13" s="17"/>
      <c r="D13" s="18">
        <v>1121</v>
      </c>
      <c r="E13" s="23"/>
      <c r="F13" s="18">
        <v>6.75</v>
      </c>
      <c r="G13" s="18">
        <v>15.2</v>
      </c>
      <c r="H13" s="18"/>
      <c r="I13" s="14">
        <v>104</v>
      </c>
      <c r="J13" s="12">
        <f>D13/D12-1</f>
        <v>0.08624031007751939</v>
      </c>
      <c r="K13" s="12">
        <f>(I13+F13-G13-H13-D13)/D13</f>
        <v>-0.9147636039250669</v>
      </c>
      <c r="L13" s="12">
        <f>AVERAGE(K10:K13)</f>
        <v>-0.927603357803374</v>
      </c>
      <c r="M13" s="12"/>
      <c r="N13" s="12">
        <f>('Cashflow '!D13+'Cashflow '!F13-'Cashflow '!C13)/'Cashflow '!C13</f>
        <v>-1.58955223880597</v>
      </c>
    </row>
    <row r="14" ht="20.05" customHeight="1">
      <c r="B14" s="33"/>
      <c r="C14" s="17"/>
      <c r="D14" s="18">
        <v>1216</v>
      </c>
      <c r="E14" s="23"/>
      <c r="F14" s="18">
        <v>6.75</v>
      </c>
      <c r="G14" s="18">
        <v>32.5</v>
      </c>
      <c r="H14" s="18"/>
      <c r="I14" s="18">
        <v>122</v>
      </c>
      <c r="J14" s="12">
        <f>D14/D13-1</f>
        <v>0.0847457627118644</v>
      </c>
      <c r="K14" s="12">
        <f>(I14+F14-G14-H14-D14)/D14</f>
        <v>-0.920847039473684</v>
      </c>
      <c r="L14" s="12">
        <f>AVERAGE(K11:K14)</f>
        <v>-0.925523451005128</v>
      </c>
      <c r="M14" s="12"/>
      <c r="N14" s="12">
        <f>('Cashflow '!D14+'Cashflow '!F14-'Cashflow '!C14)/'Cashflow '!C14</f>
        <v>-0.895292987512008</v>
      </c>
    </row>
    <row r="15" ht="20.05" customHeight="1">
      <c r="B15" s="33"/>
      <c r="C15" s="17">
        <v>17417</v>
      </c>
      <c r="D15" s="18">
        <v>1198</v>
      </c>
      <c r="E15" s="23"/>
      <c r="F15" s="18">
        <v>6.75</v>
      </c>
      <c r="G15" s="18">
        <v>35.2</v>
      </c>
      <c r="H15" s="18"/>
      <c r="I15" s="18">
        <v>152</v>
      </c>
      <c r="J15" s="12">
        <f>D15/D14-1</f>
        <v>-0.0148026315789474</v>
      </c>
      <c r="K15" s="12">
        <f>(I15+F15-G15-H15-D15)/D15</f>
        <v>-0.896869782971619</v>
      </c>
      <c r="L15" s="12">
        <f>AVERAGE(K12:K15)</f>
        <v>-0.915932606592593</v>
      </c>
      <c r="M15" s="12"/>
      <c r="N15" s="12">
        <f>('Cashflow '!D15+'Cashflow '!F15-'Cashflow '!C15)/'Cashflow '!C15</f>
        <v>-0.306306306306306</v>
      </c>
    </row>
    <row r="16" ht="20.05" customHeight="1">
      <c r="B16" s="34">
        <v>2020</v>
      </c>
      <c r="C16" s="17">
        <v>12334</v>
      </c>
      <c r="D16" s="18">
        <v>957</v>
      </c>
      <c r="E16" s="18">
        <v>959.76</v>
      </c>
      <c r="F16" s="20">
        <v>12.25</v>
      </c>
      <c r="G16" s="18">
        <v>16.7</v>
      </c>
      <c r="H16" s="18">
        <v>2</v>
      </c>
      <c r="I16" s="14">
        <v>83</v>
      </c>
      <c r="J16" s="12">
        <f>D16/D15-1</f>
        <v>-0.201168614357262</v>
      </c>
      <c r="K16" s="12">
        <f>(I16+F16-G16-H16-D16)/D16</f>
        <v>-0.920010449320794</v>
      </c>
      <c r="L16" s="12">
        <f>AVERAGE(K13:K16)</f>
        <v>-0.913122718922791</v>
      </c>
      <c r="M16" s="12"/>
      <c r="N16" s="12">
        <f>('Cashflow '!D16+'Cashflow '!F16-'Cashflow '!C16)/'Cashflow '!C16</f>
        <v>-2.21533923303835</v>
      </c>
    </row>
    <row r="17" ht="20.05" customHeight="1">
      <c r="B17" s="33"/>
      <c r="C17" s="17">
        <v>12220</v>
      </c>
      <c r="D17" s="18">
        <v>754</v>
      </c>
      <c r="E17" s="20">
        <v>874.38</v>
      </c>
      <c r="F17" s="20">
        <v>12.25</v>
      </c>
      <c r="G17" s="18">
        <v>12.3</v>
      </c>
      <c r="H17" s="18">
        <v>5</v>
      </c>
      <c r="I17" s="14">
        <v>13.7</v>
      </c>
      <c r="J17" s="12">
        <f>D17/D16-1</f>
        <v>-0.212121212121212</v>
      </c>
      <c r="K17" s="12">
        <f>(I17+F17-G17-H17-D17)/D17</f>
        <v>-0.988527851458886</v>
      </c>
      <c r="L17" s="12">
        <f>AVERAGE(K14:K17)</f>
        <v>-0.931563780806246</v>
      </c>
      <c r="M17" s="12"/>
      <c r="N17" s="12">
        <f>('Cashflow '!D17+'Cashflow '!F17-'Cashflow '!C17)/'Cashflow '!C17</f>
        <v>-1.21196222455404</v>
      </c>
    </row>
    <row r="18" ht="20.05" customHeight="1">
      <c r="B18" s="33"/>
      <c r="C18" s="17">
        <v>13179</v>
      </c>
      <c r="D18" s="18">
        <v>425</v>
      </c>
      <c r="E18" s="20">
        <v>1033.6</v>
      </c>
      <c r="F18" s="20">
        <v>12.25</v>
      </c>
      <c r="G18" s="18">
        <v>-11</v>
      </c>
      <c r="H18" s="18">
        <v>37</v>
      </c>
      <c r="I18" s="14">
        <v>34.3</v>
      </c>
      <c r="J18" s="12">
        <f>D18/D17-1</f>
        <v>-0.436339522546419</v>
      </c>
      <c r="K18" s="12">
        <f>(I18+F18-G18-H18-D18)/D18</f>
        <v>-0.951647058823529</v>
      </c>
      <c r="L18" s="12">
        <f>AVERAGE(K15:K18)</f>
        <v>-0.939263785643707</v>
      </c>
      <c r="M18" s="12"/>
      <c r="N18" s="12">
        <f>('Cashflow '!D18+'Cashflow '!F18-'Cashflow '!C18)/'Cashflow '!C18</f>
        <v>-1.04122621564482</v>
      </c>
    </row>
    <row r="19" ht="20.05" customHeight="1">
      <c r="B19" s="33"/>
      <c r="C19" s="17">
        <v>14505</v>
      </c>
      <c r="D19" s="18">
        <v>674</v>
      </c>
      <c r="E19" s="23">
        <v>680</v>
      </c>
      <c r="F19" s="20">
        <v>12.25</v>
      </c>
      <c r="G19" s="18">
        <v>20</v>
      </c>
      <c r="H19" s="18">
        <v>8</v>
      </c>
      <c r="I19" s="14">
        <v>25</v>
      </c>
      <c r="J19" s="12">
        <f>D19/D18-1</f>
        <v>0.585882352941176</v>
      </c>
      <c r="K19" s="12">
        <f>(I19+F19-G19-H19-D19)/D19</f>
        <v>-0.986275964391691</v>
      </c>
      <c r="L19" s="12">
        <f>AVERAGE(K16:K19)</f>
        <v>-0.961615330998725</v>
      </c>
      <c r="M19" s="12"/>
      <c r="N19" s="12">
        <f>('Cashflow '!D19+'Cashflow '!F19-'Cashflow '!C19)/'Cashflow '!C19</f>
        <v>-0.280266920877026</v>
      </c>
    </row>
    <row r="20" ht="20.05" customHeight="1">
      <c r="B20" s="34">
        <v>2021</v>
      </c>
      <c r="C20" s="17">
        <v>11617</v>
      </c>
      <c r="D20" s="18">
        <v>779</v>
      </c>
      <c r="E20" s="18">
        <v>707.7</v>
      </c>
      <c r="F20" s="20">
        <v>12.25</v>
      </c>
      <c r="G20" s="18">
        <v>17</v>
      </c>
      <c r="H20" s="23"/>
      <c r="I20" s="23">
        <v>53</v>
      </c>
      <c r="J20" s="12">
        <f>D20/D19-1</f>
        <v>0.155786350148368</v>
      </c>
      <c r="K20" s="12">
        <f>(I20+F20-G20-H20-D20)/D20</f>
        <v>-0.93806161745828</v>
      </c>
      <c r="L20" s="12">
        <f>AVERAGE(K17:K20)</f>
        <v>-0.966128123033097</v>
      </c>
      <c r="M20" s="12"/>
      <c r="N20" s="12">
        <f>('Cashflow '!D20+'Cashflow '!F20-'Cashflow '!C20)/'Cashflow '!C20</f>
        <v>-2.85616438356164</v>
      </c>
    </row>
    <row r="21" ht="20.05" customHeight="1">
      <c r="B21" s="33"/>
      <c r="C21" s="17">
        <v>11844</v>
      </c>
      <c r="D21" s="18">
        <v>577</v>
      </c>
      <c r="E21" s="18">
        <v>833.53</v>
      </c>
      <c r="F21" s="20">
        <v>12.25</v>
      </c>
      <c r="G21" s="20">
        <v>14</v>
      </c>
      <c r="H21" s="18"/>
      <c r="I21" s="14">
        <v>48</v>
      </c>
      <c r="J21" s="12">
        <f>D21/D20-1</f>
        <v>-0.259306803594352</v>
      </c>
      <c r="K21" s="12">
        <f>(I21+F21-G21-H21-D21)/D21</f>
        <v>-0.919844020797227</v>
      </c>
      <c r="L21" s="12">
        <f>AVERAGE(K18:K21)</f>
        <v>-0.948957165367682</v>
      </c>
      <c r="M21" s="12"/>
      <c r="N21" s="12">
        <f>('Cashflow '!D21+'Cashflow '!F21-'Cashflow '!C21)/'Cashflow '!C21</f>
        <v>-1.23214285714286</v>
      </c>
    </row>
    <row r="22" ht="20.05" customHeight="1">
      <c r="B22" s="33"/>
      <c r="C22" s="17">
        <v>12751</v>
      </c>
      <c r="D22" s="18">
        <f>2449-D21-D20</f>
        <v>1093</v>
      </c>
      <c r="E22" s="18">
        <f>'Model'!C6</f>
        <v>790.9</v>
      </c>
      <c r="F22" s="20">
        <v>12.25</v>
      </c>
      <c r="G22" s="20">
        <f>53.5-G21-G20</f>
        <v>22.5</v>
      </c>
      <c r="H22" s="18"/>
      <c r="I22" s="14">
        <f>151.5-I21-I20</f>
        <v>50.5</v>
      </c>
      <c r="J22" s="12">
        <f>D22/D21-1</f>
        <v>0.894280762564991</v>
      </c>
      <c r="K22" s="12">
        <f>(I22+F22-G22-H22-D22)/D22</f>
        <v>-0.963174748398902</v>
      </c>
      <c r="L22" s="12">
        <f>AVERAGE(K19:K22)</f>
        <v>-0.951839087761525</v>
      </c>
      <c r="M22" s="12"/>
      <c r="N22" s="12">
        <f>('Cashflow '!D22+'Cashflow '!F22-'Cashflow '!C22)/'Cashflow '!C22</f>
        <v>-1.04157254857403</v>
      </c>
    </row>
    <row r="23" ht="20.05" customHeight="1">
      <c r="B23" s="33"/>
      <c r="C23" s="17">
        <v>13124</v>
      </c>
      <c r="D23" s="18">
        <f>3168-D22-D21-D20</f>
        <v>719</v>
      </c>
      <c r="E23" s="14">
        <f>'Model'!C6</f>
        <v>790.9</v>
      </c>
      <c r="F23" s="20">
        <v>12.25</v>
      </c>
      <c r="G23" s="18">
        <f>83.048-G22-G21-G20</f>
        <v>29.548</v>
      </c>
      <c r="H23" s="18"/>
      <c r="I23" s="14">
        <f>216-I22-I21-I20</f>
        <v>64.5</v>
      </c>
      <c r="J23" s="12">
        <f>D23/D22-1</f>
        <v>-0.342177493138152</v>
      </c>
      <c r="K23" s="12">
        <f>(I23+F23-G23-H23-D23)/D23</f>
        <v>-0.934350486787204</v>
      </c>
      <c r="L23" s="12">
        <f>AVERAGE(K20:K23)</f>
        <v>-0.938857718360403</v>
      </c>
      <c r="M23" s="12">
        <f>L23</f>
        <v>-0.938857718360403</v>
      </c>
      <c r="N23" s="12">
        <f>('Cashflow '!D23+'Cashflow '!F23-'Cashflow '!C23)/'Cashflow '!C23</f>
        <v>-0.124171871096677</v>
      </c>
    </row>
    <row r="24" ht="20.05" customHeight="1">
      <c r="B24" s="34">
        <v>2022</v>
      </c>
      <c r="C24" s="15"/>
      <c r="D24" s="16"/>
      <c r="E24" s="14">
        <f>'Model'!C6</f>
        <v>790.9</v>
      </c>
      <c r="F24" s="20"/>
      <c r="G24" s="18"/>
      <c r="H24" s="18"/>
      <c r="I24" s="14"/>
      <c r="J24" s="12"/>
      <c r="K24" s="24"/>
      <c r="L24" s="12"/>
      <c r="M24" s="16">
        <f>'Model'!C7</f>
        <v>-0.934350486787204</v>
      </c>
      <c r="N24" s="12"/>
    </row>
    <row r="25" ht="20.05" customHeight="1">
      <c r="B25" s="33"/>
      <c r="C25" s="17"/>
      <c r="D25" s="18"/>
      <c r="E25" s="18">
        <f>'Model'!D6</f>
        <v>988.625</v>
      </c>
      <c r="F25" s="20"/>
      <c r="G25" s="18"/>
      <c r="H25" s="18"/>
      <c r="I25" s="14"/>
      <c r="J25" s="12"/>
      <c r="K25" s="12"/>
      <c r="L25" s="12"/>
      <c r="M25" s="12"/>
      <c r="N25" s="12"/>
    </row>
    <row r="26" ht="20.05" customHeight="1">
      <c r="B26" s="33"/>
      <c r="C26" s="17"/>
      <c r="D26" s="18"/>
      <c r="E26" s="18">
        <f>'Model'!E6</f>
        <v>1136.91875</v>
      </c>
      <c r="F26" s="20"/>
      <c r="G26" s="18"/>
      <c r="H26" s="18"/>
      <c r="I26" s="14"/>
      <c r="J26" s="12"/>
      <c r="K26" s="12"/>
      <c r="L26" s="12"/>
      <c r="M26" s="12"/>
      <c r="N26" s="12"/>
    </row>
    <row r="27" ht="20.05" customHeight="1">
      <c r="B27" s="33"/>
      <c r="C27" s="17"/>
      <c r="D27" s="18"/>
      <c r="E27" s="18">
        <f>'Model'!F6</f>
        <v>1182.3955</v>
      </c>
      <c r="F27" s="20"/>
      <c r="G27" s="18"/>
      <c r="H27" s="18"/>
      <c r="I27" s="14"/>
      <c r="J27" s="12"/>
      <c r="K27" s="12"/>
      <c r="L27" s="12"/>
      <c r="M27" s="12"/>
      <c r="N27" s="12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875" style="35" customWidth="1"/>
    <col min="2" max="2" width="7.19531" style="35" customWidth="1"/>
    <col min="3" max="4" width="11.1172" style="35" customWidth="1"/>
    <col min="5" max="5" width="9.38281" style="35" customWidth="1"/>
    <col min="6" max="6" width="11.1172" style="35" customWidth="1"/>
    <col min="7" max="17" width="9.38281" style="35" customWidth="1"/>
    <col min="18" max="16384" width="16.3516" style="35" customWidth="1"/>
  </cols>
  <sheetData>
    <row r="1" ht="35.45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5" customHeight="1">
      <c r="B3" t="s" s="5">
        <v>1</v>
      </c>
      <c r="C3" t="s" s="5">
        <v>50</v>
      </c>
      <c r="D3" t="s" s="5">
        <v>8</v>
      </c>
      <c r="E3" t="s" s="5">
        <v>51</v>
      </c>
      <c r="F3" t="s" s="5">
        <v>52</v>
      </c>
      <c r="G3" t="s" s="5">
        <v>11</v>
      </c>
      <c r="H3" t="s" s="5">
        <v>26</v>
      </c>
      <c r="I3" t="s" s="5">
        <v>10</v>
      </c>
      <c r="J3" t="s" s="5">
        <v>53</v>
      </c>
      <c r="K3" t="s" s="5">
        <v>54</v>
      </c>
      <c r="L3" t="s" s="5">
        <v>55</v>
      </c>
      <c r="M3" t="s" s="5">
        <v>56</v>
      </c>
      <c r="N3" t="s" s="5">
        <v>34</v>
      </c>
      <c r="O3" t="s" s="5">
        <v>36</v>
      </c>
      <c r="P3" t="s" s="5">
        <v>57</v>
      </c>
      <c r="Q3" t="s" s="5">
        <v>36</v>
      </c>
    </row>
    <row r="4" ht="19.7" customHeight="1">
      <c r="B4" s="27">
        <v>2017</v>
      </c>
      <c r="C4" s="28">
        <v>453</v>
      </c>
      <c r="D4" s="29">
        <v>62</v>
      </c>
      <c r="E4" s="29">
        <v>-21</v>
      </c>
      <c r="F4" s="29"/>
      <c r="G4" s="29"/>
      <c r="H4" s="29"/>
      <c r="I4" s="29">
        <v>-31</v>
      </c>
      <c r="J4" s="29"/>
      <c r="K4" s="29"/>
      <c r="L4" s="29"/>
      <c r="M4" s="29">
        <f>D4+E4</f>
        <v>41</v>
      </c>
      <c r="N4" s="29"/>
      <c r="O4" s="29"/>
      <c r="P4" s="29">
        <f>-I4</f>
        <v>31</v>
      </c>
      <c r="Q4" s="29"/>
    </row>
    <row r="5" ht="19.5" customHeight="1">
      <c r="B5" s="33"/>
      <c r="C5" s="17">
        <v>705</v>
      </c>
      <c r="D5" s="18">
        <v>155</v>
      </c>
      <c r="E5" s="18">
        <v>2</v>
      </c>
      <c r="F5" s="18"/>
      <c r="G5" s="18"/>
      <c r="H5" s="18"/>
      <c r="I5" s="18">
        <v>-18</v>
      </c>
      <c r="J5" s="18"/>
      <c r="K5" s="18"/>
      <c r="L5" s="18"/>
      <c r="M5" s="18">
        <f>D5+E5</f>
        <v>157</v>
      </c>
      <c r="N5" s="18"/>
      <c r="O5" s="18"/>
      <c r="P5" s="18">
        <f>-I5+P4</f>
        <v>49</v>
      </c>
      <c r="Q5" s="18"/>
    </row>
    <row r="6" ht="19.5" customHeight="1">
      <c r="B6" s="33"/>
      <c r="C6" s="17">
        <v>764</v>
      </c>
      <c r="D6" s="18">
        <v>55</v>
      </c>
      <c r="E6" s="18">
        <v>-17</v>
      </c>
      <c r="F6" s="18"/>
      <c r="G6" s="18"/>
      <c r="H6" s="18"/>
      <c r="I6" s="18">
        <v>-2</v>
      </c>
      <c r="J6" s="18"/>
      <c r="K6" s="18"/>
      <c r="L6" s="18"/>
      <c r="M6" s="18">
        <f>D6+E6</f>
        <v>38</v>
      </c>
      <c r="N6" s="18"/>
      <c r="O6" s="18"/>
      <c r="P6" s="18">
        <f>-I6+P5</f>
        <v>51</v>
      </c>
      <c r="Q6" s="18"/>
    </row>
    <row r="7" ht="19.5" customHeight="1">
      <c r="B7" s="33"/>
      <c r="C7" s="17">
        <v>1629</v>
      </c>
      <c r="D7" s="18">
        <v>365</v>
      </c>
      <c r="E7" s="18">
        <v>-23</v>
      </c>
      <c r="F7" s="18"/>
      <c r="G7" s="18"/>
      <c r="H7" s="18"/>
      <c r="I7" s="18">
        <v>1033</v>
      </c>
      <c r="J7" s="18"/>
      <c r="K7" s="18"/>
      <c r="L7" s="18"/>
      <c r="M7" s="18">
        <f>D7+E7</f>
        <v>342</v>
      </c>
      <c r="N7" s="18"/>
      <c r="O7" s="18"/>
      <c r="P7" s="18">
        <f>-I7+P6</f>
        <v>-982</v>
      </c>
      <c r="Q7" s="18"/>
    </row>
    <row r="8" ht="19.5" customHeight="1">
      <c r="B8" s="34">
        <v>2018</v>
      </c>
      <c r="C8" s="17">
        <v>891</v>
      </c>
      <c r="D8" s="18">
        <v>-148</v>
      </c>
      <c r="E8" s="18">
        <v>-22</v>
      </c>
      <c r="F8" s="18"/>
      <c r="G8" s="18"/>
      <c r="H8" s="18"/>
      <c r="I8" s="18">
        <v>-122</v>
      </c>
      <c r="J8" s="18"/>
      <c r="K8" s="18"/>
      <c r="L8" s="18"/>
      <c r="M8" s="18">
        <f>D8+E8</f>
        <v>-170</v>
      </c>
      <c r="N8" s="18">
        <f>AVERAGE(M5:M8)</f>
        <v>91.75</v>
      </c>
      <c r="O8" s="18"/>
      <c r="P8" s="18">
        <f>-I8+P7</f>
        <v>-860</v>
      </c>
      <c r="Q8" s="18"/>
    </row>
    <row r="9" ht="19.5" customHeight="1">
      <c r="B9" s="33"/>
      <c r="C9" s="17">
        <v>1016</v>
      </c>
      <c r="D9" s="18">
        <v>470</v>
      </c>
      <c r="E9" s="18">
        <v>-34</v>
      </c>
      <c r="F9" s="18"/>
      <c r="G9" s="18"/>
      <c r="H9" s="18"/>
      <c r="I9" s="18">
        <v>-573</v>
      </c>
      <c r="J9" s="18"/>
      <c r="K9" s="18"/>
      <c r="L9" s="18"/>
      <c r="M9" s="18">
        <f>D9+E9</f>
        <v>436</v>
      </c>
      <c r="N9" s="18">
        <f>AVERAGE(M6:M9)</f>
        <v>161.5</v>
      </c>
      <c r="O9" s="18"/>
      <c r="P9" s="18">
        <f>-I9+P8</f>
        <v>-287</v>
      </c>
      <c r="Q9" s="18"/>
    </row>
    <row r="10" ht="19.5" customHeight="1">
      <c r="B10" s="33"/>
      <c r="C10" s="17">
        <v>975</v>
      </c>
      <c r="D10" s="18">
        <v>-202</v>
      </c>
      <c r="E10" s="18">
        <v>-69</v>
      </c>
      <c r="F10" s="18"/>
      <c r="G10" s="18"/>
      <c r="H10" s="18"/>
      <c r="I10" s="18">
        <v>8</v>
      </c>
      <c r="J10" s="18"/>
      <c r="K10" s="18"/>
      <c r="L10" s="18"/>
      <c r="M10" s="18">
        <f>D10+E10</f>
        <v>-271</v>
      </c>
      <c r="N10" s="18">
        <f>AVERAGE(M7:M10)</f>
        <v>84.25</v>
      </c>
      <c r="O10" s="18"/>
      <c r="P10" s="18">
        <f>-I10+P9</f>
        <v>-295</v>
      </c>
      <c r="Q10" s="18"/>
    </row>
    <row r="11" ht="19.5" customHeight="1">
      <c r="B11" s="33"/>
      <c r="C11" s="17">
        <v>1895</v>
      </c>
      <c r="D11" s="18">
        <v>743</v>
      </c>
      <c r="E11" s="18">
        <v>8</v>
      </c>
      <c r="F11" s="18"/>
      <c r="G11" s="18"/>
      <c r="H11" s="18"/>
      <c r="I11" s="18">
        <v>8</v>
      </c>
      <c r="J11" s="18"/>
      <c r="K11" s="18"/>
      <c r="L11" s="18"/>
      <c r="M11" s="18">
        <f>D11+E11</f>
        <v>751</v>
      </c>
      <c r="N11" s="18">
        <f>AVERAGE(M8:M11)</f>
        <v>186.5</v>
      </c>
      <c r="O11" s="18"/>
      <c r="P11" s="18">
        <f>-I11+P10</f>
        <v>-303</v>
      </c>
      <c r="Q11" s="18"/>
    </row>
    <row r="12" ht="19.5" customHeight="1">
      <c r="B12" s="34">
        <v>2019</v>
      </c>
      <c r="C12" s="17">
        <v>396</v>
      </c>
      <c r="D12" s="18">
        <v>-959</v>
      </c>
      <c r="E12" s="18">
        <v>-24</v>
      </c>
      <c r="F12" s="18"/>
      <c r="G12" s="18"/>
      <c r="H12" s="18"/>
      <c r="I12" s="18">
        <v>8</v>
      </c>
      <c r="J12" s="18"/>
      <c r="K12" s="18"/>
      <c r="L12" s="18"/>
      <c r="M12" s="18">
        <f>D12+E12</f>
        <v>-983</v>
      </c>
      <c r="N12" s="18">
        <f>AVERAGE(M9:M12)</f>
        <v>-16.75</v>
      </c>
      <c r="O12" s="18"/>
      <c r="P12" s="18">
        <f>-I12+P11</f>
        <v>-311</v>
      </c>
      <c r="Q12" s="18"/>
    </row>
    <row r="13" ht="19.5" customHeight="1">
      <c r="B13" s="33"/>
      <c r="C13" s="17">
        <v>804</v>
      </c>
      <c r="D13" s="18">
        <v>-474</v>
      </c>
      <c r="E13" s="18">
        <v>-41.3</v>
      </c>
      <c r="F13" s="18"/>
      <c r="G13" s="18"/>
      <c r="H13" s="18"/>
      <c r="I13" s="18">
        <v>308</v>
      </c>
      <c r="J13" s="18"/>
      <c r="K13" s="18"/>
      <c r="L13" s="18"/>
      <c r="M13" s="18">
        <f>D13+E13</f>
        <v>-515.3</v>
      </c>
      <c r="N13" s="18">
        <f>AVERAGE(M10:M13)</f>
        <v>-254.575</v>
      </c>
      <c r="O13" s="18"/>
      <c r="P13" s="18">
        <f>-I13+P12</f>
        <v>-619</v>
      </c>
      <c r="Q13" s="18"/>
    </row>
    <row r="14" ht="19.5" customHeight="1">
      <c r="B14" s="33"/>
      <c r="C14" s="17">
        <v>1041</v>
      </c>
      <c r="D14" s="18">
        <v>109</v>
      </c>
      <c r="E14" s="18">
        <v>-200.7</v>
      </c>
      <c r="F14" s="18"/>
      <c r="G14" s="18"/>
      <c r="H14" s="18"/>
      <c r="I14" s="18">
        <v>-8</v>
      </c>
      <c r="J14" s="18"/>
      <c r="K14" s="18"/>
      <c r="L14" s="18"/>
      <c r="M14" s="18">
        <f>D14+E14</f>
        <v>-91.7</v>
      </c>
      <c r="N14" s="18">
        <f>AVERAGE(M11:M14)</f>
        <v>-209.75</v>
      </c>
      <c r="O14" s="18"/>
      <c r="P14" s="18">
        <f>-I14+P13</f>
        <v>-611</v>
      </c>
      <c r="Q14" s="18"/>
    </row>
    <row r="15" ht="19.5" customHeight="1">
      <c r="B15" s="33"/>
      <c r="C15" s="17">
        <f>4350-C14-C13-C12</f>
        <v>2109</v>
      </c>
      <c r="D15" s="18">
        <v>1463</v>
      </c>
      <c r="E15" s="18">
        <v>-227</v>
      </c>
      <c r="F15" s="18"/>
      <c r="G15" s="18"/>
      <c r="H15" s="18"/>
      <c r="I15" s="18">
        <v>-263</v>
      </c>
      <c r="J15" s="18"/>
      <c r="K15" s="18"/>
      <c r="L15" s="18"/>
      <c r="M15" s="18">
        <f>D15+E15</f>
        <v>1236</v>
      </c>
      <c r="N15" s="18">
        <f>AVERAGE(M12:M15)</f>
        <v>-88.5</v>
      </c>
      <c r="O15" s="18"/>
      <c r="P15" s="18">
        <f>-I15+P14</f>
        <v>-348</v>
      </c>
      <c r="Q15" s="18"/>
    </row>
    <row r="16" ht="19.5" customHeight="1">
      <c r="B16" s="34">
        <v>2020</v>
      </c>
      <c r="C16" s="17">
        <v>339</v>
      </c>
      <c r="D16" s="18">
        <v>-412</v>
      </c>
      <c r="E16" s="18">
        <v>-90</v>
      </c>
      <c r="F16" s="18"/>
      <c r="G16" s="18"/>
      <c r="H16" s="18"/>
      <c r="I16" s="18">
        <v>-77</v>
      </c>
      <c r="J16" s="18"/>
      <c r="K16" s="18"/>
      <c r="L16" s="18"/>
      <c r="M16" s="18">
        <f>D16+E16</f>
        <v>-502</v>
      </c>
      <c r="N16" s="18">
        <f>AVERAGE(M13:M16)</f>
        <v>31.75</v>
      </c>
      <c r="O16" s="18"/>
      <c r="P16" s="18">
        <f>-I16+P15</f>
        <v>-271</v>
      </c>
      <c r="Q16" s="18"/>
    </row>
    <row r="17" ht="19.5" customHeight="1">
      <c r="B17" s="33"/>
      <c r="C17" s="17">
        <v>953</v>
      </c>
      <c r="D17" s="18">
        <v>-202</v>
      </c>
      <c r="E17" s="18">
        <v>-78</v>
      </c>
      <c r="F17" s="18"/>
      <c r="G17" s="18"/>
      <c r="H17" s="18"/>
      <c r="I17" s="18">
        <v>245</v>
      </c>
      <c r="J17" s="18"/>
      <c r="K17" s="18"/>
      <c r="L17" s="18"/>
      <c r="M17" s="18">
        <f>D17+E17</f>
        <v>-280</v>
      </c>
      <c r="N17" s="18">
        <f>AVERAGE(M14:M17)</f>
        <v>90.575</v>
      </c>
      <c r="O17" s="18"/>
      <c r="P17" s="18">
        <f>-I17+P16</f>
        <v>-516</v>
      </c>
      <c r="Q17" s="18"/>
    </row>
    <row r="18" ht="19.5" customHeight="1">
      <c r="B18" s="33"/>
      <c r="C18" s="17">
        <v>946</v>
      </c>
      <c r="D18" s="18">
        <f>-653-D17-D16</f>
        <v>-39</v>
      </c>
      <c r="E18" s="18">
        <f>-62-E17-E16</f>
        <v>106</v>
      </c>
      <c r="F18" s="18"/>
      <c r="G18" s="18"/>
      <c r="H18" s="18"/>
      <c r="I18" s="18">
        <f>176-I17-I16</f>
        <v>8</v>
      </c>
      <c r="J18" s="18"/>
      <c r="K18" s="18"/>
      <c r="L18" s="18"/>
      <c r="M18" s="18">
        <f>D18+E18</f>
        <v>67</v>
      </c>
      <c r="N18" s="18">
        <f>AVERAGE(M15:M18)</f>
        <v>130.25</v>
      </c>
      <c r="O18" s="18"/>
      <c r="P18" s="18">
        <f>-I18+P17</f>
        <v>-524</v>
      </c>
      <c r="Q18" s="18"/>
    </row>
    <row r="19" ht="19.5" customHeight="1">
      <c r="B19" s="33"/>
      <c r="C19" s="17">
        <v>1049</v>
      </c>
      <c r="D19" s="18">
        <v>755</v>
      </c>
      <c r="E19" s="18">
        <v>-213</v>
      </c>
      <c r="F19" s="18"/>
      <c r="G19" s="18"/>
      <c r="H19" s="18"/>
      <c r="I19" s="18">
        <v>49</v>
      </c>
      <c r="J19" s="18"/>
      <c r="K19" s="18"/>
      <c r="L19" s="18">
        <v>1508</v>
      </c>
      <c r="M19" s="18">
        <f>D19+E19</f>
        <v>542</v>
      </c>
      <c r="N19" s="18">
        <f>AVERAGE(M16:M19)</f>
        <v>-43.25</v>
      </c>
      <c r="O19" s="18"/>
      <c r="P19" s="18">
        <f>-I19+P18</f>
        <v>-573</v>
      </c>
      <c r="Q19" s="18"/>
    </row>
    <row r="20" ht="19.5" customHeight="1">
      <c r="B20" s="34">
        <v>2021</v>
      </c>
      <c r="C20" s="17">
        <v>438</v>
      </c>
      <c r="D20" s="18">
        <v>-803</v>
      </c>
      <c r="E20" s="18">
        <v>12</v>
      </c>
      <c r="F20" s="18">
        <v>-10</v>
      </c>
      <c r="G20" s="20">
        <f>-30.4-F20</f>
        <v>-20.4</v>
      </c>
      <c r="H20" s="23"/>
      <c r="I20" s="20">
        <f>SUM(F20:H20)</f>
        <v>-30.4</v>
      </c>
      <c r="J20" s="18">
        <f>L19</f>
        <v>1508</v>
      </c>
      <c r="K20" s="18">
        <f>D20+E20+F20+G20+H20</f>
        <v>-821.4</v>
      </c>
      <c r="L20" s="18">
        <f>J20+K20</f>
        <v>686.6</v>
      </c>
      <c r="M20" s="18">
        <f>D20+E20+F20</f>
        <v>-801</v>
      </c>
      <c r="N20" s="18">
        <f>AVERAGE(M17:M20)</f>
        <v>-118</v>
      </c>
      <c r="O20" s="18"/>
      <c r="P20" s="18">
        <f>-(I20-F20)+P19</f>
        <v>-552.6</v>
      </c>
      <c r="Q20" s="18"/>
    </row>
    <row r="21" ht="19.5" customHeight="1">
      <c r="B21" s="33"/>
      <c r="C21" s="17">
        <v>672</v>
      </c>
      <c r="D21" s="18">
        <v>-139</v>
      </c>
      <c r="E21" s="18">
        <v>-3</v>
      </c>
      <c r="F21" s="18">
        <v>-17</v>
      </c>
      <c r="G21" s="18">
        <f>216.1-F21-F20-G20-H21</f>
        <v>284.8</v>
      </c>
      <c r="H21" s="18">
        <f>-21.3-H20</f>
        <v>-21.3</v>
      </c>
      <c r="I21" s="20">
        <f>SUM(F21:H21)</f>
        <v>246.5</v>
      </c>
      <c r="J21" s="18">
        <f>L20</f>
        <v>686.6</v>
      </c>
      <c r="K21" s="18">
        <f>D21+E21+F21+G21+H21</f>
        <v>104.5</v>
      </c>
      <c r="L21" s="18">
        <f>J21+K21</f>
        <v>791.1</v>
      </c>
      <c r="M21" s="18">
        <f>D21+E21+F21</f>
        <v>-159</v>
      </c>
      <c r="N21" s="18">
        <f>AVERAGE(M18:M21)</f>
        <v>-87.75</v>
      </c>
      <c r="O21" s="18"/>
      <c r="P21" s="18">
        <f>-I21+P20</f>
        <v>-799.1</v>
      </c>
      <c r="Q21" s="18"/>
    </row>
    <row r="22" ht="19.5" customHeight="1">
      <c r="B22" s="33"/>
      <c r="C22" s="17">
        <f>1990.1-C21-C20</f>
        <v>880.1</v>
      </c>
      <c r="D22" s="18">
        <f>-960.131-D21-D20</f>
        <v>-18.131</v>
      </c>
      <c r="E22" s="18">
        <f>-1.691-E21-E20</f>
        <v>-10.691</v>
      </c>
      <c r="F22" s="18">
        <f>-45.457-F21-F20</f>
        <v>-18.457</v>
      </c>
      <c r="G22" s="18">
        <f>224.075-F22-F21-F20-G21-G20-H22-H21-H20</f>
        <v>35.858</v>
      </c>
      <c r="H22" s="18">
        <f>-30.726-H21-H20</f>
        <v>-9.426</v>
      </c>
      <c r="I22" s="20">
        <f>SUM(F22:H22)</f>
        <v>7.975</v>
      </c>
      <c r="J22" s="18">
        <f>L21</f>
        <v>791.1</v>
      </c>
      <c r="K22" s="18">
        <f>D22+E22+F22+G22+H22</f>
        <v>-20.847</v>
      </c>
      <c r="L22" s="18">
        <f>J22+K22</f>
        <v>770.253</v>
      </c>
      <c r="M22" s="18">
        <f>D22+E22+F22</f>
        <v>-47.279</v>
      </c>
      <c r="N22" s="18">
        <f>AVERAGE(M19:M22)</f>
        <v>-116.31975</v>
      </c>
      <c r="O22" s="18"/>
      <c r="P22" s="18">
        <f>-I22+P21</f>
        <v>-807.075</v>
      </c>
      <c r="Q22" s="18"/>
    </row>
    <row r="23" ht="19.5" customHeight="1">
      <c r="B23" s="33"/>
      <c r="C23" s="17">
        <f>3191-C22-C21-C20</f>
        <v>1200.9</v>
      </c>
      <c r="D23" s="18">
        <f>103-D22-D21-D20</f>
        <v>1063.131</v>
      </c>
      <c r="E23" s="18">
        <f>-97.749-E22-E21-E20</f>
        <v>-96.05800000000001</v>
      </c>
      <c r="F23" s="18">
        <f>-56.806-F22-F21-F20</f>
        <v>-11.349</v>
      </c>
      <c r="G23" s="18">
        <f>1079-1056-3+21-G22-G21-G20</f>
        <v>-259.258</v>
      </c>
      <c r="H23" s="18">
        <f>-30.7-H22-H21</f>
        <v>0.026</v>
      </c>
      <c r="I23" s="20">
        <f>-46-I22-I21-I20</f>
        <v>-270.075</v>
      </c>
      <c r="J23" s="18">
        <f>L22</f>
        <v>770.253</v>
      </c>
      <c r="K23" s="18">
        <f>D23+E23+F23+G23+H23</f>
        <v>696.492</v>
      </c>
      <c r="L23" s="18">
        <f>J23+K23</f>
        <v>1466.745</v>
      </c>
      <c r="M23" s="18">
        <f>D23+E23+F23</f>
        <v>955.724</v>
      </c>
      <c r="N23" s="18">
        <f>AVERAGE(M20:M23)</f>
        <v>-12.88875</v>
      </c>
      <c r="O23" s="18">
        <f>N23</f>
        <v>-12.88875</v>
      </c>
      <c r="P23" s="18">
        <f>-I23+P22</f>
        <v>-537</v>
      </c>
      <c r="Q23" s="18">
        <f>P23</f>
        <v>-537</v>
      </c>
    </row>
    <row r="24" ht="19.5" customHeight="1">
      <c r="B24" s="34">
        <v>2022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4"/>
      <c r="O24" s="18">
        <f>SUM('Model'!F9:F10)</f>
        <v>53.186439</v>
      </c>
      <c r="P24" s="24"/>
      <c r="Q24" s="18">
        <f>'Model'!F33</f>
        <v>-365.6621985</v>
      </c>
    </row>
  </sheetData>
  <mergeCells count="1">
    <mergeCell ref="B2:Q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3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5" style="36" customWidth="1"/>
    <col min="2" max="2" width="7.60938" style="36" customWidth="1"/>
    <col min="3" max="11" width="10.7344" style="36" customWidth="1"/>
    <col min="12" max="12" width="7.04688" style="37" customWidth="1"/>
    <col min="13" max="17" width="9.33594" style="37" customWidth="1"/>
    <col min="18" max="16384" width="16.3516" style="37" customWidth="1"/>
  </cols>
  <sheetData>
    <row r="1" ht="61.1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58</v>
      </c>
      <c r="D3" t="s" s="5">
        <v>59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60</v>
      </c>
      <c r="K3" t="s" s="5">
        <v>36</v>
      </c>
    </row>
    <row r="4" ht="20.25" customHeight="1">
      <c r="B4" s="27">
        <v>2017</v>
      </c>
      <c r="C4" s="28">
        <v>150</v>
      </c>
      <c r="D4" s="29">
        <v>2197</v>
      </c>
      <c r="E4" s="29">
        <f>D4-C4</f>
        <v>2047</v>
      </c>
      <c r="F4" s="29">
        <f>'Sales'!F4</f>
        <v>0</v>
      </c>
      <c r="G4" s="29">
        <v>1510</v>
      </c>
      <c r="H4" s="29">
        <v>687</v>
      </c>
      <c r="I4" s="29">
        <f>G4+H4-C4-E4</f>
        <v>0</v>
      </c>
      <c r="J4" s="29">
        <f>C4-G4</f>
        <v>-1360</v>
      </c>
      <c r="K4" s="29"/>
    </row>
    <row r="5" ht="20.05" customHeight="1">
      <c r="B5" s="33"/>
      <c r="C5" s="17">
        <v>290</v>
      </c>
      <c r="D5" s="18">
        <v>2592</v>
      </c>
      <c r="E5" s="18">
        <f>D5-C5</f>
        <v>2302</v>
      </c>
      <c r="F5" s="18">
        <f>F4+'Sales'!F5</f>
        <v>0</v>
      </c>
      <c r="G5" s="18">
        <v>1863</v>
      </c>
      <c r="H5" s="18">
        <v>728</v>
      </c>
      <c r="I5" s="18">
        <f>G5+H5-C5-E5</f>
        <v>-1</v>
      </c>
      <c r="J5" s="18">
        <f>C5-G5</f>
        <v>-1573</v>
      </c>
      <c r="K5" s="18"/>
    </row>
    <row r="6" ht="20.05" customHeight="1">
      <c r="B6" s="33"/>
      <c r="C6" s="17">
        <v>325</v>
      </c>
      <c r="D6" s="18">
        <v>3164</v>
      </c>
      <c r="E6" s="18">
        <f>D6-C6</f>
        <v>2839</v>
      </c>
      <c r="F6" s="18">
        <f>F5+'Sales'!F6</f>
        <v>8</v>
      </c>
      <c r="G6" s="18">
        <v>2366</v>
      </c>
      <c r="H6" s="18">
        <v>798</v>
      </c>
      <c r="I6" s="18">
        <f>G6+H6-C6-E6</f>
        <v>0</v>
      </c>
      <c r="J6" s="18">
        <f>C6-G6</f>
        <v>-2041</v>
      </c>
      <c r="K6" s="18"/>
    </row>
    <row r="7" ht="20.05" customHeight="1">
      <c r="B7" s="33"/>
      <c r="C7" s="17">
        <v>1699</v>
      </c>
      <c r="D7" s="18">
        <v>4608</v>
      </c>
      <c r="E7" s="18">
        <f>D7-C7</f>
        <v>2909</v>
      </c>
      <c r="F7" s="18">
        <f>F6+'Sales'!F7</f>
        <v>13.5</v>
      </c>
      <c r="G7" s="18">
        <v>2884</v>
      </c>
      <c r="H7" s="18">
        <v>1724</v>
      </c>
      <c r="I7" s="18">
        <f>G7+H7-C7-E7</f>
        <v>0</v>
      </c>
      <c r="J7" s="18">
        <f>C7-G7</f>
        <v>-1185</v>
      </c>
      <c r="K7" s="18"/>
    </row>
    <row r="8" ht="20.05" customHeight="1">
      <c r="B8" s="34">
        <v>2018</v>
      </c>
      <c r="C8" s="17">
        <v>1407</v>
      </c>
      <c r="D8" s="18">
        <v>4739</v>
      </c>
      <c r="E8" s="18">
        <f>D8-C8</f>
        <v>3332</v>
      </c>
      <c r="F8" s="18">
        <f>F7+'Sales'!F8</f>
        <v>18</v>
      </c>
      <c r="G8" s="18">
        <v>2940</v>
      </c>
      <c r="H8" s="18">
        <v>1799</v>
      </c>
      <c r="I8" s="18">
        <f>G8+H8-C8-E8</f>
        <v>0</v>
      </c>
      <c r="J8" s="18">
        <f>C8-G8</f>
        <v>-1533</v>
      </c>
      <c r="K8" s="18"/>
    </row>
    <row r="9" ht="20.05" customHeight="1">
      <c r="B9" s="33"/>
      <c r="C9" s="17">
        <v>1270</v>
      </c>
      <c r="D9" s="18">
        <v>5346</v>
      </c>
      <c r="E9" s="18">
        <f>D9-C9</f>
        <v>4076</v>
      </c>
      <c r="F9" s="18">
        <f>F8+'Sales'!F9</f>
        <v>22.9</v>
      </c>
      <c r="G9" s="18">
        <v>3499</v>
      </c>
      <c r="H9" s="18">
        <v>1847</v>
      </c>
      <c r="I9" s="18">
        <f>G9+H9-C9-E9</f>
        <v>0</v>
      </c>
      <c r="J9" s="18">
        <f>C9-G9</f>
        <v>-2229</v>
      </c>
      <c r="K9" s="18"/>
    </row>
    <row r="10" ht="20.05" customHeight="1">
      <c r="B10" s="33"/>
      <c r="C10" s="17">
        <v>1007</v>
      </c>
      <c r="D10" s="18">
        <v>5784</v>
      </c>
      <c r="E10" s="18">
        <f>D10-C10</f>
        <v>4777</v>
      </c>
      <c r="F10" s="18">
        <f>F9+'Sales'!F10</f>
        <v>26.7</v>
      </c>
      <c r="G10" s="18">
        <v>3829</v>
      </c>
      <c r="H10" s="18">
        <v>1955</v>
      </c>
      <c r="I10" s="18">
        <f>G10+H10-C10-E10</f>
        <v>0</v>
      </c>
      <c r="J10" s="18">
        <f>C10-G10</f>
        <v>-2822</v>
      </c>
      <c r="K10" s="18"/>
    </row>
    <row r="11" ht="20.05" customHeight="1">
      <c r="B11" s="33"/>
      <c r="C11" s="17">
        <v>1766</v>
      </c>
      <c r="D11" s="18">
        <v>5891</v>
      </c>
      <c r="E11" s="18">
        <f>D11-C11</f>
        <v>4125</v>
      </c>
      <c r="F11" s="18">
        <f>F10+'Sales'!F11</f>
        <v>32.4</v>
      </c>
      <c r="G11" s="18">
        <v>3753</v>
      </c>
      <c r="H11" s="18">
        <v>2137</v>
      </c>
      <c r="I11" s="18">
        <f>G11+H11-C11-E11</f>
        <v>-1</v>
      </c>
      <c r="J11" s="18">
        <f>C11-G11</f>
        <v>-1987</v>
      </c>
      <c r="K11" s="18"/>
    </row>
    <row r="12" ht="20.05" customHeight="1">
      <c r="B12" s="34">
        <v>2019</v>
      </c>
      <c r="C12" s="17">
        <v>790.4</v>
      </c>
      <c r="D12" s="18">
        <v>5543</v>
      </c>
      <c r="E12" s="18">
        <f>D12-C12</f>
        <v>4752.6</v>
      </c>
      <c r="F12" s="18">
        <f>F11+'Sales'!F12</f>
        <v>39.15</v>
      </c>
      <c r="G12" s="18">
        <v>3327</v>
      </c>
      <c r="H12" s="18">
        <v>2215</v>
      </c>
      <c r="I12" s="18">
        <f>G12+H12-C12-E12</f>
        <v>-1</v>
      </c>
      <c r="J12" s="18">
        <f>C12-G12</f>
        <v>-2536.6</v>
      </c>
      <c r="K12" s="18"/>
    </row>
    <row r="13" ht="20.05" customHeight="1">
      <c r="B13" s="33"/>
      <c r="C13" s="17">
        <v>584</v>
      </c>
      <c r="D13" s="18">
        <v>5741</v>
      </c>
      <c r="E13" s="18">
        <f>D13-C13</f>
        <v>5157</v>
      </c>
      <c r="F13" s="18">
        <f>F12+'Sales'!F13</f>
        <v>45.9</v>
      </c>
      <c r="G13" s="18">
        <v>3555</v>
      </c>
      <c r="H13" s="18">
        <v>2186</v>
      </c>
      <c r="I13" s="18">
        <f>G13+H13-C13-E13</f>
        <v>0</v>
      </c>
      <c r="J13" s="18">
        <f>C13-G13</f>
        <v>-2971</v>
      </c>
      <c r="K13" s="18"/>
    </row>
    <row r="14" ht="20.05" customHeight="1">
      <c r="B14" s="33"/>
      <c r="C14" s="17">
        <v>483</v>
      </c>
      <c r="D14" s="18">
        <v>5989</v>
      </c>
      <c r="E14" s="18">
        <f>D14-C14</f>
        <v>5506</v>
      </c>
      <c r="F14" s="18">
        <f>F13+'Sales'!F14</f>
        <v>52.65</v>
      </c>
      <c r="G14" s="18">
        <v>3682</v>
      </c>
      <c r="H14" s="18">
        <v>2308</v>
      </c>
      <c r="I14" s="18">
        <f>G14+H14-C14-E14</f>
        <v>1</v>
      </c>
      <c r="J14" s="18">
        <f>C14-G14</f>
        <v>-3199</v>
      </c>
      <c r="K14" s="18"/>
    </row>
    <row r="15" ht="20.05" customHeight="1">
      <c r="B15" s="33"/>
      <c r="C15" s="17">
        <v>1456</v>
      </c>
      <c r="D15" s="18">
        <v>6324</v>
      </c>
      <c r="E15" s="18">
        <f>D15-C15</f>
        <v>4868</v>
      </c>
      <c r="F15" s="18">
        <f>F14+'Sales'!F15</f>
        <v>59.4</v>
      </c>
      <c r="G15" s="18">
        <v>3864</v>
      </c>
      <c r="H15" s="18">
        <v>2459</v>
      </c>
      <c r="I15" s="18">
        <f>G15+H15-C15-E15</f>
        <v>-1</v>
      </c>
      <c r="J15" s="18">
        <f>C15-G15</f>
        <v>-2408</v>
      </c>
      <c r="K15" s="18"/>
    </row>
    <row r="16" ht="20.05" customHeight="1">
      <c r="B16" s="34">
        <v>2020</v>
      </c>
      <c r="C16" s="17">
        <v>877</v>
      </c>
      <c r="D16" s="18">
        <v>5961</v>
      </c>
      <c r="E16" s="18">
        <f>D16-C16</f>
        <v>5084</v>
      </c>
      <c r="F16" s="18">
        <f>F15+'Sales'!F16</f>
        <v>71.65000000000001</v>
      </c>
      <c r="G16" s="18">
        <v>3725</v>
      </c>
      <c r="H16" s="18">
        <v>2236</v>
      </c>
      <c r="I16" s="18">
        <f>G16+H16-C16-E16</f>
        <v>0</v>
      </c>
      <c r="J16" s="18">
        <f>C16-G16</f>
        <v>-2848</v>
      </c>
      <c r="K16" s="18"/>
    </row>
    <row r="17" ht="20.05" customHeight="1">
      <c r="B17" s="33"/>
      <c r="C17" s="17">
        <v>842</v>
      </c>
      <c r="D17" s="18">
        <v>5727</v>
      </c>
      <c r="E17" s="18">
        <f>D17-C17</f>
        <v>4885</v>
      </c>
      <c r="F17" s="18">
        <f>F16+'Sales'!F17</f>
        <v>83.90000000000001</v>
      </c>
      <c r="G17" s="18">
        <v>3589.7</v>
      </c>
      <c r="H17" s="18">
        <v>2137</v>
      </c>
      <c r="I17" s="18">
        <f>G17+H17-C17-E17</f>
        <v>-0.3</v>
      </c>
      <c r="J17" s="18">
        <f>C17-G17</f>
        <v>-2747.7</v>
      </c>
      <c r="K17" s="18"/>
    </row>
    <row r="18" ht="20.05" customHeight="1">
      <c r="B18" s="33"/>
      <c r="C18" s="17">
        <v>916</v>
      </c>
      <c r="D18" s="18">
        <v>5532</v>
      </c>
      <c r="E18" s="18">
        <f>D18-C18</f>
        <v>4616</v>
      </c>
      <c r="F18" s="18">
        <f>F17+'Sales'!F18</f>
        <v>96.15000000000001</v>
      </c>
      <c r="G18" s="18">
        <v>3361</v>
      </c>
      <c r="H18" s="18">
        <v>2171</v>
      </c>
      <c r="I18" s="18">
        <f>G18+H18-C18-E18</f>
        <v>0</v>
      </c>
      <c r="J18" s="18">
        <f>C18-G18</f>
        <v>-2445</v>
      </c>
      <c r="K18" s="18"/>
    </row>
    <row r="19" ht="20.05" customHeight="1">
      <c r="B19" s="33"/>
      <c r="C19" s="17">
        <v>1508</v>
      </c>
      <c r="D19" s="18">
        <v>6082</v>
      </c>
      <c r="E19" s="18">
        <f>D19-C19</f>
        <v>4574</v>
      </c>
      <c r="F19" s="18">
        <f>F18+'Sales'!F19</f>
        <v>108.4</v>
      </c>
      <c r="G19" s="18">
        <v>3887</v>
      </c>
      <c r="H19" s="18">
        <v>2195</v>
      </c>
      <c r="I19" s="18">
        <f>G19+H19-C19-E19</f>
        <v>0</v>
      </c>
      <c r="J19" s="18">
        <f>C19-G19</f>
        <v>-2379</v>
      </c>
      <c r="K19" s="20"/>
    </row>
    <row r="20" ht="20.05" customHeight="1">
      <c r="B20" s="34">
        <v>2021</v>
      </c>
      <c r="C20" s="17">
        <v>688</v>
      </c>
      <c r="D20" s="18">
        <v>5754</v>
      </c>
      <c r="E20" s="18">
        <f>D20-C20</f>
        <v>5066</v>
      </c>
      <c r="F20" s="18">
        <f>F19+'Sales'!F20</f>
        <v>120.65</v>
      </c>
      <c r="G20" s="18">
        <v>3506</v>
      </c>
      <c r="H20" s="18">
        <v>2248</v>
      </c>
      <c r="I20" s="18">
        <f>G20+H20-C20-E20</f>
        <v>0</v>
      </c>
      <c r="J20" s="18">
        <f>C20-G20</f>
        <v>-2818</v>
      </c>
      <c r="K20" s="18"/>
    </row>
    <row r="21" ht="20.05" customHeight="1">
      <c r="B21" s="33"/>
      <c r="C21" s="17">
        <v>792</v>
      </c>
      <c r="D21" s="18">
        <v>5742</v>
      </c>
      <c r="E21" s="18">
        <f>D21-C21</f>
        <v>4950</v>
      </c>
      <c r="F21" s="18">
        <f>F20+'Sales'!F21</f>
        <v>132.9</v>
      </c>
      <c r="G21" s="18">
        <v>3467</v>
      </c>
      <c r="H21" s="18">
        <v>2275</v>
      </c>
      <c r="I21" s="18">
        <f>G21+H21-C21-E21</f>
        <v>0</v>
      </c>
      <c r="J21" s="18">
        <f>C21-G21</f>
        <v>-2675</v>
      </c>
      <c r="K21" s="18"/>
    </row>
    <row r="22" ht="20.05" customHeight="1">
      <c r="B22" s="33"/>
      <c r="C22" s="17">
        <v>770.5</v>
      </c>
      <c r="D22" s="18">
        <v>5766</v>
      </c>
      <c r="E22" s="18">
        <f>D22-C22</f>
        <v>4995.5</v>
      </c>
      <c r="F22" s="18">
        <f>F21+'Sales'!F22</f>
        <v>145.15</v>
      </c>
      <c r="G22" s="18">
        <v>3449</v>
      </c>
      <c r="H22" s="18">
        <v>2316.9</v>
      </c>
      <c r="I22" s="18">
        <f>G22+H22-C22-E22</f>
        <v>-0.1</v>
      </c>
      <c r="J22" s="18">
        <f>C22-G22</f>
        <v>-2678.5</v>
      </c>
      <c r="K22" s="18"/>
    </row>
    <row r="23" ht="20.05" customHeight="1">
      <c r="B23" s="33"/>
      <c r="C23" s="17">
        <v>1467.997</v>
      </c>
      <c r="D23" s="18">
        <v>5974</v>
      </c>
      <c r="E23" s="18">
        <f>D23-C23</f>
        <v>4506.003</v>
      </c>
      <c r="F23" s="18">
        <f>F22+'Sales'!F23</f>
        <v>157.4</v>
      </c>
      <c r="G23" s="18">
        <v>3592</v>
      </c>
      <c r="H23" s="18">
        <f>D23-G23</f>
        <v>2382</v>
      </c>
      <c r="I23" s="18">
        <f>G23+H23-C23-E23</f>
        <v>0</v>
      </c>
      <c r="J23" s="18">
        <f>C23-G23</f>
        <v>-2124.003</v>
      </c>
      <c r="K23" s="18">
        <f>J23</f>
        <v>-2124.003</v>
      </c>
    </row>
    <row r="24" ht="20.05" customHeight="1">
      <c r="B24" s="34">
        <v>2022</v>
      </c>
      <c r="C24" s="17"/>
      <c r="D24" s="18"/>
      <c r="E24" s="18"/>
      <c r="F24" s="18"/>
      <c r="G24" s="18"/>
      <c r="H24" s="18"/>
      <c r="I24" s="18"/>
      <c r="J24" s="18"/>
      <c r="K24" s="18">
        <f>'Model'!F31</f>
        <v>-2037.234898875</v>
      </c>
    </row>
    <row r="26" ht="27.65" customHeight="1">
      <c r="L26" t="s" s="2">
        <v>61</v>
      </c>
      <c r="M26" s="2"/>
      <c r="N26" s="2"/>
      <c r="O26" s="2"/>
      <c r="P26" s="2"/>
      <c r="Q26" s="2"/>
    </row>
    <row r="27" ht="44.25" customHeight="1">
      <c r="L27" t="s" s="38">
        <v>62</v>
      </c>
      <c r="M27" t="s" s="5">
        <v>63</v>
      </c>
      <c r="N27" t="s" s="5">
        <v>26</v>
      </c>
      <c r="O27" t="s" s="5">
        <v>64</v>
      </c>
      <c r="P27" t="s" s="5">
        <v>65</v>
      </c>
      <c r="Q27" t="s" s="5">
        <v>36</v>
      </c>
    </row>
    <row r="28" ht="20.25" customHeight="1">
      <c r="L28" s="27">
        <v>2012</v>
      </c>
      <c r="M28" s="39">
        <v>-1</v>
      </c>
      <c r="N28" s="32">
        <v>-10.7</v>
      </c>
      <c r="O28" s="32">
        <f>-SUM(M28:N28)</f>
        <v>11.7</v>
      </c>
      <c r="P28" s="32">
        <f>O28</f>
        <v>11.7</v>
      </c>
      <c r="Q28" s="32"/>
    </row>
    <row r="29" ht="20.05" customHeight="1">
      <c r="L29" s="34">
        <v>2013</v>
      </c>
      <c r="M29" s="13">
        <f>12.1-N29</f>
        <v>22.9</v>
      </c>
      <c r="N29" s="14">
        <v>-10.8</v>
      </c>
      <c r="O29" s="14">
        <f>-SUM(M29:N29)</f>
        <v>-12.1</v>
      </c>
      <c r="P29" s="14">
        <f>O29+P28</f>
        <v>-0.4</v>
      </c>
      <c r="Q29" s="14"/>
    </row>
    <row r="30" ht="20.05" customHeight="1">
      <c r="L30" s="34">
        <v>2014</v>
      </c>
      <c r="M30" s="13">
        <v>-31.5</v>
      </c>
      <c r="N30" s="14">
        <v>-14.8</v>
      </c>
      <c r="O30" s="14">
        <f>-SUM(M30:N30)</f>
        <v>46.3</v>
      </c>
      <c r="P30" s="14">
        <f>O30+P29</f>
        <v>45.9</v>
      </c>
      <c r="Q30" s="14"/>
    </row>
    <row r="31" ht="20.05" customHeight="1">
      <c r="L31" s="34">
        <v>2015</v>
      </c>
      <c r="M31" s="13">
        <f>10.4-N31</f>
        <v>29.4</v>
      </c>
      <c r="N31" s="14">
        <v>-19</v>
      </c>
      <c r="O31" s="14">
        <f>-SUM(M31:N31)</f>
        <v>-10.4</v>
      </c>
      <c r="P31" s="14">
        <f>O31+P30</f>
        <v>35.5</v>
      </c>
      <c r="Q31" s="14"/>
    </row>
    <row r="32" ht="20.05" customHeight="1">
      <c r="L32" s="34">
        <v>2016</v>
      </c>
      <c r="M32" s="13">
        <f>486-N32</f>
        <v>268</v>
      </c>
      <c r="N32" s="14">
        <f>250-32</f>
        <v>218</v>
      </c>
      <c r="O32" s="14">
        <f>-SUM(M32:N32)</f>
        <v>-486</v>
      </c>
      <c r="P32" s="14">
        <f>O32+P31</f>
        <v>-450.5</v>
      </c>
      <c r="Q32" s="14"/>
    </row>
    <row r="33" ht="20.05" customHeight="1">
      <c r="L33" s="34">
        <v>2017</v>
      </c>
      <c r="M33" s="13">
        <f>630-439</f>
        <v>191</v>
      </c>
      <c r="N33" s="14">
        <f>982-M33</f>
        <v>791</v>
      </c>
      <c r="O33" s="14">
        <f>-SUM(M33:N33)</f>
        <v>-982</v>
      </c>
      <c r="P33" s="14">
        <f>O33+P32</f>
        <v>-1432.5</v>
      </c>
      <c r="Q33" s="14"/>
    </row>
    <row r="34" ht="20.05" customHeight="1">
      <c r="L34" s="34">
        <v>2018</v>
      </c>
      <c r="M34" s="13">
        <f>-613-9</f>
        <v>-622</v>
      </c>
      <c r="N34" s="14">
        <v>-57</v>
      </c>
      <c r="O34" s="14">
        <f>-SUM(M34:N34)</f>
        <v>679</v>
      </c>
      <c r="P34" s="14">
        <f>O34+P33</f>
        <v>-753.5</v>
      </c>
      <c r="Q34" s="14"/>
    </row>
    <row r="35" ht="20.05" customHeight="1">
      <c r="L35" s="34">
        <v>2019</v>
      </c>
      <c r="M35" s="13">
        <f>45-N35</f>
        <v>178</v>
      </c>
      <c r="N35" s="14">
        <v>-133</v>
      </c>
      <c r="O35" s="14">
        <f>-SUM(M35:N35)</f>
        <v>-45</v>
      </c>
      <c r="P35" s="14">
        <f>O35+P34</f>
        <v>-798.5</v>
      </c>
      <c r="Q35" s="14"/>
    </row>
    <row r="36" ht="20.05" customHeight="1">
      <c r="L36" s="34">
        <v>2020</v>
      </c>
      <c r="M36" s="13">
        <f>168-N36</f>
        <v>281</v>
      </c>
      <c r="N36" s="14">
        <v>-113</v>
      </c>
      <c r="O36" s="14">
        <f>-SUM(M36:N36)</f>
        <v>-168</v>
      </c>
      <c r="P36" s="14">
        <f>O36+P35</f>
        <v>-966.5</v>
      </c>
      <c r="Q36" s="14"/>
    </row>
    <row r="37" ht="32.05" customHeight="1">
      <c r="L37" t="s" s="40">
        <v>66</v>
      </c>
      <c r="M37" s="13"/>
      <c r="N37" s="14"/>
      <c r="O37" s="14">
        <f>-SUM('Model'!C12:E13)</f>
        <v>573.148278125</v>
      </c>
      <c r="P37" s="24"/>
      <c r="Q37" s="14">
        <f>O37+P36</f>
        <v>-393.351721875</v>
      </c>
    </row>
  </sheetData>
  <mergeCells count="2">
    <mergeCell ref="B2:K2"/>
    <mergeCell ref="L26:Q2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4062" style="41" customWidth="1"/>
    <col min="2" max="2" width="6.11719" style="41" customWidth="1"/>
    <col min="3" max="5" width="8.24219" style="41" customWidth="1"/>
    <col min="6" max="16384" width="16.3516" style="41" customWidth="1"/>
  </cols>
  <sheetData>
    <row r="1" ht="36.2" customHeight="1"/>
    <row r="2" ht="27.65" customHeight="1">
      <c r="B2" t="s" s="2">
        <v>67</v>
      </c>
      <c r="C2" s="2"/>
      <c r="D2" s="2"/>
      <c r="E2" s="2"/>
    </row>
    <row r="3" ht="32.25" customHeight="1">
      <c r="B3" s="4"/>
      <c r="C3" t="s" s="38">
        <v>68</v>
      </c>
      <c r="D3" t="s" s="38">
        <v>69</v>
      </c>
      <c r="E3" t="s" s="38">
        <v>70</v>
      </c>
    </row>
    <row r="4" ht="20.25" customHeight="1">
      <c r="B4" s="27">
        <v>2018</v>
      </c>
      <c r="C4" s="42">
        <v>268</v>
      </c>
      <c r="D4" s="31"/>
      <c r="E4" s="31"/>
    </row>
    <row r="5" ht="20.05" customHeight="1">
      <c r="B5" s="33"/>
      <c r="C5" s="19">
        <v>206</v>
      </c>
      <c r="D5" s="20"/>
      <c r="E5" s="20"/>
    </row>
    <row r="6" ht="20.05" customHeight="1">
      <c r="B6" s="33"/>
      <c r="C6" s="19">
        <v>232</v>
      </c>
      <c r="D6" s="20"/>
      <c r="E6" s="20"/>
    </row>
    <row r="7" ht="20.05" customHeight="1">
      <c r="B7" s="33"/>
      <c r="C7" s="19">
        <v>240</v>
      </c>
      <c r="D7" s="20"/>
      <c r="E7" s="20"/>
    </row>
    <row r="8" ht="20.05" customHeight="1">
      <c r="B8" s="34">
        <v>2019</v>
      </c>
      <c r="C8" s="19">
        <v>396</v>
      </c>
      <c r="D8" s="20"/>
      <c r="E8" s="20"/>
    </row>
    <row r="9" ht="20.05" customHeight="1">
      <c r="B9" s="33"/>
      <c r="C9" s="19">
        <v>342</v>
      </c>
      <c r="D9" s="20"/>
      <c r="E9" s="20"/>
    </row>
    <row r="10" ht="20.05" customHeight="1">
      <c r="B10" s="33"/>
      <c r="C10" s="19">
        <v>308</v>
      </c>
      <c r="D10" s="20"/>
      <c r="E10" s="20"/>
    </row>
    <row r="11" ht="20.05" customHeight="1">
      <c r="B11" s="33"/>
      <c r="C11" s="19">
        <v>306</v>
      </c>
      <c r="D11" s="20"/>
      <c r="E11" s="20"/>
    </row>
    <row r="12" ht="20.05" customHeight="1">
      <c r="B12" s="34">
        <v>2020</v>
      </c>
      <c r="C12" s="19">
        <v>143</v>
      </c>
      <c r="D12" s="20"/>
      <c r="E12" s="20"/>
    </row>
    <row r="13" ht="20.05" customHeight="1">
      <c r="B13" s="33"/>
      <c r="C13" s="17">
        <v>191</v>
      </c>
      <c r="D13" s="24"/>
      <c r="E13" s="24"/>
    </row>
    <row r="14" ht="20.05" customHeight="1">
      <c r="B14" s="33"/>
      <c r="C14" s="17">
        <v>157</v>
      </c>
      <c r="D14" s="24"/>
      <c r="E14" s="24"/>
    </row>
    <row r="15" ht="20.05" customHeight="1">
      <c r="B15" s="33"/>
      <c r="C15" s="17">
        <v>256</v>
      </c>
      <c r="D15" s="24"/>
      <c r="E15" s="24"/>
    </row>
    <row r="16" ht="20.05" customHeight="1">
      <c r="B16" s="34">
        <v>2021</v>
      </c>
      <c r="C16" s="17">
        <v>202</v>
      </c>
      <c r="D16" s="24"/>
      <c r="E16" s="24"/>
    </row>
    <row r="17" ht="20.05" customHeight="1">
      <c r="B17" s="33"/>
      <c r="C17" s="17">
        <v>185</v>
      </c>
      <c r="D17" s="24"/>
      <c r="E17" s="24"/>
    </row>
    <row r="18" ht="20.05" customHeight="1">
      <c r="B18" s="33"/>
      <c r="C18" s="17">
        <v>206</v>
      </c>
      <c r="D18" s="24"/>
      <c r="E18" s="24"/>
    </row>
    <row r="19" ht="20.05" customHeight="1">
      <c r="B19" s="33"/>
      <c r="C19" s="17">
        <v>193</v>
      </c>
      <c r="D19" s="24"/>
      <c r="E19" s="24"/>
    </row>
    <row r="20" ht="20.05" customHeight="1">
      <c r="B20" s="34">
        <v>2022</v>
      </c>
      <c r="C20" s="17">
        <v>182</v>
      </c>
      <c r="D20" s="23">
        <f>C20</f>
        <v>182</v>
      </c>
      <c r="E20" s="23">
        <v>277.702730700935</v>
      </c>
    </row>
    <row r="21" ht="20.05" customHeight="1">
      <c r="B21" s="33"/>
      <c r="C21" s="17"/>
      <c r="D21" s="23">
        <f>'Model'!F44</f>
        <v>268.498442460886</v>
      </c>
      <c r="E21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