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<sst xmlns="http://schemas.openxmlformats.org/spreadsheetml/2006/main" uniqueCount="62">
  <si>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</si>
  <si>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</si>
  <si>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</si>
  <si>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</si>
  <si>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</si>
  <si>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</si>
  <si>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</si>
  <si>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</si>
  <si>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</si>
  <si>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</si>
  <si>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</si>
  <si>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</si>
  <si>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</si>
  <si>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</si>
  <si>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</si>
  <si>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</si>
  <si>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</si>
  <si>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</si>
  <si>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</si>
  <si>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</si>
  <si>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</si>
  <si>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</si>
  <si>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</si>
  <si>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</si>
  <si>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</si>
  <si>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</si>
  <si>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</si>
  <si>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</si>
  <si>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</si>
  <si>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</si>
  <si>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</si>
  <si>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</si>
  <si>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</si>
  <si>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</si>
  <si>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</si>
  <si>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</si>
  <si>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</si>
  <si>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</si>
  <si>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</si>
  <si>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</si>
  <si>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</si>
  <si>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</si>
  <si>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Rp bn</t>
  </si>
  <si>
    <t xml:space="preserve">Net profit </t>
  </si>
  <si>
    <t xml:space="preserve">Sales growth </t>
  </si>
  <si>
    <t xml:space="preserve">Cashflow costs </t>
  </si>
  <si>
    <t>Receipts</t>
  </si>
  <si>
    <t>Capex</t>
  </si>
  <si>
    <t xml:space="preserve">Investment </t>
  </si>
  <si>
    <t xml:space="preserve">Free cashflow </t>
  </si>
  <si>
    <t>Cash</t>
  </si>
  <si>
    <t>Assets</t>
  </si>
  <si>
    <t>Other Assets</t>
  </si>
  <si>
    <t>Share price after stock split</t>
  </si>
  <si>
    <t>Rp</t>
  </si>
  <si>
    <t>UNVR</t>
  </si>
  <si>
    <t xml:space="preserve">Target </t>
  </si>
  <si>
    <t xml:space="preserve">Previous </t>
  </si>
  <si>
    <t>Capital</t>
  </si>
  <si>
    <t>Total</t>
  </si>
  <si>
    <t xml:space="preserve">Total </t>
  </si>
  <si>
    <t>Pages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</si>
</sst>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3186"/>
          <c:y val="0.0446026"/>
          <c:w val="0.82835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'!$A$3:$A$22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'Capital '!$E$3:$E$22</c:f>
              <c:numCache>
                <c:ptCount val="20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509.160000</c:v>
                </c:pt>
                <c:pt idx="10">
                  <c:v>850.000000</c:v>
                </c:pt>
                <c:pt idx="11">
                  <c:v>786.792000</c:v>
                </c:pt>
                <c:pt idx="12">
                  <c:v>1057.000000</c:v>
                </c:pt>
                <c:pt idx="13">
                  <c:v>1507.000000</c:v>
                </c:pt>
                <c:pt idx="14">
                  <c:v>2199.970000</c:v>
                </c:pt>
                <c:pt idx="15">
                  <c:v>3256.970000</c:v>
                </c:pt>
                <c:pt idx="16">
                  <c:v>266.970000</c:v>
                </c:pt>
                <c:pt idx="17">
                  <c:v>2726.970000</c:v>
                </c:pt>
                <c:pt idx="18">
                  <c:v>2821.970000</c:v>
                </c:pt>
                <c:pt idx="19">
                  <c:v>1706.970000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'!$A$3:$A$22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'Capital '!$F$3:$F$22</c:f>
              <c:numCache>
                <c:ptCount val="20"/>
                <c:pt idx="0">
                  <c:v>-661.700000</c:v>
                </c:pt>
                <c:pt idx="1">
                  <c:v>-1891.700000</c:v>
                </c:pt>
                <c:pt idx="2">
                  <c:v>-3406.500000</c:v>
                </c:pt>
                <c:pt idx="3">
                  <c:v>-4936.350000</c:v>
                </c:pt>
                <c:pt idx="4">
                  <c:v>-6459.350000</c:v>
                </c:pt>
                <c:pt idx="5">
                  <c:v>-8097.135000</c:v>
                </c:pt>
                <c:pt idx="6">
                  <c:v>-10092.651000</c:v>
                </c:pt>
                <c:pt idx="7">
                  <c:v>-12528.651000</c:v>
                </c:pt>
                <c:pt idx="8">
                  <c:v>-15376.111000</c:v>
                </c:pt>
                <c:pt idx="9">
                  <c:v>-19896.018000</c:v>
                </c:pt>
                <c:pt idx="10">
                  <c:v>-24433.795000</c:v>
                </c:pt>
                <c:pt idx="11">
                  <c:v>-29492.322000</c:v>
                </c:pt>
                <c:pt idx="12">
                  <c:v>-34619.039000</c:v>
                </c:pt>
                <c:pt idx="13">
                  <c:v>-40211.371000</c:v>
                </c:pt>
                <c:pt idx="14">
                  <c:v>-46054.555000</c:v>
                </c:pt>
                <c:pt idx="15">
                  <c:v>-52548.600000</c:v>
                </c:pt>
                <c:pt idx="16">
                  <c:v>-59474.801000</c:v>
                </c:pt>
                <c:pt idx="17">
                  <c:v>-68651.218000</c:v>
                </c:pt>
                <c:pt idx="18">
                  <c:v>-76022.287000</c:v>
                </c:pt>
                <c:pt idx="19">
                  <c:v>-79849.745000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'!$A$3:$A$22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'Capital '!$G$3:$G$22</c:f>
              <c:numCache>
                <c:ptCount val="20"/>
                <c:pt idx="0">
                  <c:v>-661.700000</c:v>
                </c:pt>
                <c:pt idx="1">
                  <c:v>-1891.700000</c:v>
                </c:pt>
                <c:pt idx="2">
                  <c:v>-3406.500000</c:v>
                </c:pt>
                <c:pt idx="3">
                  <c:v>-4936.350000</c:v>
                </c:pt>
                <c:pt idx="4">
                  <c:v>-6459.350000</c:v>
                </c:pt>
                <c:pt idx="5">
                  <c:v>-8097.135000</c:v>
                </c:pt>
                <c:pt idx="6">
                  <c:v>-10092.651000</c:v>
                </c:pt>
                <c:pt idx="7">
                  <c:v>-12528.651000</c:v>
                </c:pt>
                <c:pt idx="8">
                  <c:v>-15376.111000</c:v>
                </c:pt>
                <c:pt idx="9">
                  <c:v>-19386.858000</c:v>
                </c:pt>
                <c:pt idx="10">
                  <c:v>-23583.795000</c:v>
                </c:pt>
                <c:pt idx="11">
                  <c:v>-28705.530000</c:v>
                </c:pt>
                <c:pt idx="12">
                  <c:v>-33562.039000</c:v>
                </c:pt>
                <c:pt idx="13">
                  <c:v>-38704.371000</c:v>
                </c:pt>
                <c:pt idx="14">
                  <c:v>-43854.585000</c:v>
                </c:pt>
                <c:pt idx="15">
                  <c:v>-49291.630000</c:v>
                </c:pt>
                <c:pt idx="16">
                  <c:v>-59207.831000</c:v>
                </c:pt>
                <c:pt idx="17">
                  <c:v>-65924.248000</c:v>
                </c:pt>
                <c:pt idx="18">
                  <c:v>-73200.317000</c:v>
                </c:pt>
                <c:pt idx="19">
                  <c:v>-78142.775000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000"/>
        <c:minorUnit val="125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34484"/>
          <c:y val="0.0518726"/>
          <c:w val="0.43775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786979</xdr:colOff>
      <xdr:row>1</xdr:row>
      <xdr:rowOff>341640</xdr:rowOff>
    </xdr:from>
    <xdr:to>
      <xdr:col>13</xdr:col>
      <xdr:colOff>812616</xdr:colOff>
      <xdr:row>47</xdr:row>
      <xdr:rowOff>95863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08179" y="637550"/>
          <a:ext cx="8737838" cy="115925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471810</xdr:colOff>
      <xdr:row>27</xdr:row>
      <xdr:rowOff>231476</xdr:rowOff>
    </xdr:from>
    <xdr:to>
      <xdr:col>6</xdr:col>
      <xdr:colOff>569537</xdr:colOff>
      <xdr:row>41</xdr:row>
      <xdr:rowOff>30372</xdr:rowOff>
    </xdr:to>
    <xdr:graphicFrame>
      <xdr:nvGraphicFramePr>
        <xdr:cNvPr id="4" name="2D Line Chart"/>
        <xdr:cNvGraphicFramePr/>
      </xdr:nvGraphicFramePr>
      <xdr:xfrm>
        <a:off x="2338710" y="7198696"/>
        <a:ext cx="3602928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775700</xdr:colOff>
      <xdr:row>24</xdr:row>
      <xdr:rowOff>93536</xdr:rowOff>
    </xdr:from>
    <xdr:to>
      <xdr:col>7</xdr:col>
      <xdr:colOff>823114</xdr:colOff>
      <xdr:row>28</xdr:row>
      <xdr:rowOff>65168</xdr:rowOff>
    </xdr:to>
    <xdr:sp>
      <xdr:nvSpPr>
        <xdr:cNvPr id="5" name="UNVR MOSTLY EQUITY, TOTAL ABOUT HALF MARKET CAP"/>
        <xdr:cNvSpPr txBox="1"/>
      </xdr:nvSpPr>
      <xdr:spPr>
        <a:xfrm>
          <a:off x="1766300" y="6302566"/>
          <a:ext cx="5305215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UNVR MOSTLY EQUITY, TOTAL ABOUT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HALF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MARKET CAP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44531" style="1" customWidth="1"/>
    <col min="2" max="2" width="14.7656" style="1" customWidth="1"/>
    <col min="3" max="6" width="8.94531" style="1" customWidth="1"/>
    <col min="7" max="16384" width="16.3516" style="1" customWidth="1"/>
  </cols>
  <sheetData>
    <row r="1" ht="23.3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4"/>
      <c r="F3" t="s" s="5">
        <v>2</v>
      </c>
    </row>
    <row r="4" ht="20.3" customHeight="1">
      <c r="B4" t="s" s="6">
        <v>3</v>
      </c>
      <c r="C4" s="7">
        <f>AVERAGE('Sales'!G28:G31)</f>
        <v>-0.0245482714273881</v>
      </c>
      <c r="D4" s="8"/>
      <c r="E4" s="8"/>
      <c r="F4" s="9">
        <f>AVERAGE(C5:F5)</f>
        <v>0.0225</v>
      </c>
    </row>
    <row r="5" ht="20.1" customHeight="1">
      <c r="B5" t="s" s="10">
        <v>4</v>
      </c>
      <c r="C5" s="11">
        <v>0.05</v>
      </c>
      <c r="D5" s="12">
        <v>0.01</v>
      </c>
      <c r="E5" s="12">
        <v>0.02</v>
      </c>
      <c r="F5" s="12">
        <v>0.01</v>
      </c>
    </row>
    <row r="6" ht="20.1" customHeight="1">
      <c r="B6" t="s" s="10">
        <v>5</v>
      </c>
      <c r="C6" s="13">
        <f>'Sales'!C31*(1+C5)</f>
        <v>9992.325000000001</v>
      </c>
      <c r="D6" s="14">
        <f>C6*(1+D5)</f>
        <v>10092.24825</v>
      </c>
      <c r="E6" s="14">
        <f>D6*(1+E5)</f>
        <v>10294.093215</v>
      </c>
      <c r="F6" s="14">
        <f>E6*(1+F5)</f>
        <v>10397.03414715</v>
      </c>
    </row>
    <row r="7" ht="20.1" customHeight="1">
      <c r="B7" t="s" s="10">
        <v>6</v>
      </c>
      <c r="C7" s="15">
        <f>AVERAGE('Sales'!H28)</f>
        <v>-0.809715536105033</v>
      </c>
      <c r="D7" s="16">
        <f>C7</f>
        <v>-0.809715536105033</v>
      </c>
      <c r="E7" s="16">
        <f>D7</f>
        <v>-0.809715536105033</v>
      </c>
      <c r="F7" s="16">
        <f>E7</f>
        <v>-0.809715536105033</v>
      </c>
    </row>
    <row r="8" ht="20.1" customHeight="1">
      <c r="B8" t="s" s="10">
        <v>7</v>
      </c>
      <c r="C8" s="17">
        <f>C7*C6</f>
        <v>-8090.940794310720</v>
      </c>
      <c r="D8" s="18">
        <f>D7*D6</f>
        <v>-8171.850202253830</v>
      </c>
      <c r="E8" s="18">
        <f>E7*E6</f>
        <v>-8335.287206298910</v>
      </c>
      <c r="F8" s="18">
        <f>F7*F6</f>
        <v>-8418.640078361899</v>
      </c>
    </row>
    <row r="9" ht="20.1" customHeight="1">
      <c r="B9" t="s" s="10">
        <v>8</v>
      </c>
      <c r="C9" s="17">
        <f>C6+C8</f>
        <v>1901.384205689280</v>
      </c>
      <c r="D9" s="18">
        <f>D6+D8</f>
        <v>1920.398047746170</v>
      </c>
      <c r="E9" s="18">
        <f>E6+E8</f>
        <v>1958.806008701090</v>
      </c>
      <c r="F9" s="18">
        <f>F6+F8</f>
        <v>1978.3940687881</v>
      </c>
    </row>
    <row r="10" ht="20.05" customHeight="1">
      <c r="B10" t="s" s="10">
        <v>9</v>
      </c>
      <c r="C10" s="17">
        <f>AVERAGE('Cashflow'!F30:F31)</f>
        <v>-188.5</v>
      </c>
      <c r="D10" s="18">
        <f>C10</f>
        <v>-188.5</v>
      </c>
      <c r="E10" s="18">
        <f>D10</f>
        <v>-188.5</v>
      </c>
      <c r="F10" s="18">
        <f>E10</f>
        <v>-188.5</v>
      </c>
    </row>
    <row r="11" ht="20.1" customHeight="1">
      <c r="B11" t="s" s="10">
        <v>10</v>
      </c>
      <c r="C11" s="17">
        <f>'Cashflow'!G31</f>
        <v>-50.7</v>
      </c>
      <c r="D11" s="18">
        <f>C11</f>
        <v>-50.7</v>
      </c>
      <c r="E11" s="18">
        <f>D11</f>
        <v>-50.7</v>
      </c>
      <c r="F11" s="18">
        <f>E11</f>
        <v>-50.7</v>
      </c>
    </row>
    <row r="12" ht="20.1" customHeight="1">
      <c r="B12" t="s" s="10">
        <v>11</v>
      </c>
      <c r="C12" s="17">
        <f>C13+C14+C16</f>
        <v>-1712.884205689280</v>
      </c>
      <c r="D12" s="18">
        <f>D13+D14+D16</f>
        <v>-1731.898047746170</v>
      </c>
      <c r="E12" s="18">
        <f>E13+E14+E16</f>
        <v>-1770.306008701090</v>
      </c>
      <c r="F12" s="18">
        <f>F13+F14+F16</f>
        <v>-1789.8940687881</v>
      </c>
    </row>
    <row r="13" ht="20.1" customHeight="1">
      <c r="B13" t="s" s="10">
        <v>12</v>
      </c>
      <c r="C13" s="17">
        <f>-('Balance sheet'!G31)/20</f>
        <v>-737.35</v>
      </c>
      <c r="D13" s="18">
        <f>-C27/20</f>
        <v>-700.4825</v>
      </c>
      <c r="E13" s="18">
        <f>-D27/20</f>
        <v>-665.458375</v>
      </c>
      <c r="F13" s="18">
        <f>-E27/20</f>
        <v>-632.18545625</v>
      </c>
    </row>
    <row r="14" ht="20.05" customHeight="1">
      <c r="B14" t="s" s="10">
        <v>13</v>
      </c>
      <c r="C14" s="17">
        <f>IF(C22&gt;0,-C22,0)</f>
        <v>-1627.984205689280</v>
      </c>
      <c r="D14" s="18">
        <f>IF(D22&gt;0,-D22,0)</f>
        <v>-1646.998047746170</v>
      </c>
      <c r="E14" s="18">
        <f>IF(E22&gt;0,-E22,0)</f>
        <v>-1685.406008701090</v>
      </c>
      <c r="F14" s="18">
        <f>IF(F22&gt;0,-F22,0)</f>
        <v>-1704.9940687881</v>
      </c>
    </row>
    <row r="15" ht="20.05" customHeight="1">
      <c r="B15" t="s" s="10">
        <v>14</v>
      </c>
      <c r="C15" s="17">
        <f>C9+C10+C13+C14</f>
        <v>-652.45</v>
      </c>
      <c r="D15" s="18">
        <f>D9+D10+D13+D14</f>
        <v>-615.5825</v>
      </c>
      <c r="E15" s="18">
        <f>E9+E10+E13+E14</f>
        <v>-580.558375</v>
      </c>
      <c r="F15" s="18">
        <f>F9+F10+F13+F14</f>
        <v>-547.28545625</v>
      </c>
    </row>
    <row r="16" ht="20.1" customHeight="1">
      <c r="B16" t="s" s="10">
        <v>15</v>
      </c>
      <c r="C16" s="17">
        <f>-MIN(0,C15)</f>
        <v>652.45</v>
      </c>
      <c r="D16" s="18">
        <f>-MIN(C28,D15)</f>
        <v>615.5825</v>
      </c>
      <c r="E16" s="18">
        <f>-MIN(D28,E15)</f>
        <v>580.558375</v>
      </c>
      <c r="F16" s="18">
        <f>-MIN(E28,F15)</f>
        <v>547.28545625</v>
      </c>
    </row>
    <row r="17" ht="20.1" customHeight="1">
      <c r="B17" t="s" s="10">
        <v>16</v>
      </c>
      <c r="C17" s="17">
        <f>'Balance sheet'!C31</f>
        <v>325</v>
      </c>
      <c r="D17" s="18">
        <f>C19</f>
        <v>325</v>
      </c>
      <c r="E17" s="18">
        <f>D19</f>
        <v>325</v>
      </c>
      <c r="F17" s="18">
        <f>E19</f>
        <v>325</v>
      </c>
    </row>
    <row r="18" ht="20.1" customHeight="1">
      <c r="B18" t="s" s="10">
        <v>17</v>
      </c>
      <c r="C18" s="17">
        <f>C9+C10+C12</f>
        <v>0</v>
      </c>
      <c r="D18" s="18">
        <f>D9+D10+D12</f>
        <v>0</v>
      </c>
      <c r="E18" s="18">
        <f>E9+E10+E12</f>
        <v>0</v>
      </c>
      <c r="F18" s="18">
        <f>F9+F10+F12</f>
        <v>0</v>
      </c>
    </row>
    <row r="19" ht="20.1" customHeight="1">
      <c r="B19" t="s" s="10">
        <v>18</v>
      </c>
      <c r="C19" s="17">
        <f>C17+C18</f>
        <v>325</v>
      </c>
      <c r="D19" s="18">
        <f>D17+D18</f>
        <v>325</v>
      </c>
      <c r="E19" s="18">
        <f>E17+E18</f>
        <v>325</v>
      </c>
      <c r="F19" s="18">
        <f>F17+F18</f>
        <v>325</v>
      </c>
    </row>
    <row r="20" ht="20.1" customHeight="1">
      <c r="B20" t="s" s="19">
        <v>19</v>
      </c>
      <c r="C20" s="17"/>
      <c r="D20" s="18"/>
      <c r="E20" s="18"/>
      <c r="F20" s="20"/>
    </row>
    <row r="21" ht="20.1" customHeight="1">
      <c r="B21" t="s" s="10">
        <v>20</v>
      </c>
      <c r="C21" s="17">
        <f>-'Sales'!E31</f>
        <v>-273.4</v>
      </c>
      <c r="D21" s="18">
        <f>C21</f>
        <v>-273.4</v>
      </c>
      <c r="E21" s="18">
        <f>D21</f>
        <v>-273.4</v>
      </c>
      <c r="F21" s="18">
        <f>E21</f>
        <v>-273.4</v>
      </c>
    </row>
    <row r="22" ht="20.1" customHeight="1">
      <c r="B22" t="s" s="10">
        <v>19</v>
      </c>
      <c r="C22" s="17">
        <f>C6+C8+C21</f>
        <v>1627.984205689280</v>
      </c>
      <c r="D22" s="18">
        <f>D6+D8+D21</f>
        <v>1646.998047746170</v>
      </c>
      <c r="E22" s="18">
        <f>E6+E8+E21</f>
        <v>1685.406008701090</v>
      </c>
      <c r="F22" s="18">
        <f>F6+F8+F21</f>
        <v>1704.9940687881</v>
      </c>
    </row>
    <row r="23" ht="20.1" customHeight="1">
      <c r="B23" t="s" s="19">
        <v>21</v>
      </c>
      <c r="C23" s="17"/>
      <c r="D23" s="18"/>
      <c r="E23" s="18"/>
      <c r="F23" s="18"/>
    </row>
    <row r="24" ht="20.1" customHeight="1">
      <c r="B24" t="s" s="10">
        <v>22</v>
      </c>
      <c r="C24" s="17">
        <f>'Balance sheet'!F31+'Balance sheet'!E31-C10</f>
        <v>25509.5</v>
      </c>
      <c r="D24" s="18">
        <f>C24-D10</f>
        <v>25698</v>
      </c>
      <c r="E24" s="18">
        <f>D24-E10</f>
        <v>25886.5</v>
      </c>
      <c r="F24" s="18">
        <f>E24-F10</f>
        <v>26075</v>
      </c>
    </row>
    <row r="25" ht="20.1" customHeight="1">
      <c r="B25" t="s" s="10">
        <v>23</v>
      </c>
      <c r="C25" s="17">
        <f>'Balance sheet'!F31-C21</f>
        <v>6850.4</v>
      </c>
      <c r="D25" s="18">
        <f>C25-D21</f>
        <v>7123.8</v>
      </c>
      <c r="E25" s="18">
        <f>D25-E21</f>
        <v>7397.2</v>
      </c>
      <c r="F25" s="18">
        <f>E25-F21</f>
        <v>7670.6</v>
      </c>
    </row>
    <row r="26" ht="20.1" customHeight="1">
      <c r="B26" t="s" s="10">
        <v>24</v>
      </c>
      <c r="C26" s="17">
        <f>C24-C25</f>
        <v>18659.1</v>
      </c>
      <c r="D26" s="18">
        <f>D24-D25</f>
        <v>18574.2</v>
      </c>
      <c r="E26" s="18">
        <f>E24-E25</f>
        <v>18489.3</v>
      </c>
      <c r="F26" s="18">
        <f>F24-F25</f>
        <v>18404.4</v>
      </c>
    </row>
    <row r="27" ht="20.1" customHeight="1">
      <c r="B27" t="s" s="10">
        <v>12</v>
      </c>
      <c r="C27" s="17">
        <f>'Balance sheet'!G31+C13</f>
        <v>14009.65</v>
      </c>
      <c r="D27" s="18">
        <f>C27+D13</f>
        <v>13309.1675</v>
      </c>
      <c r="E27" s="18">
        <f>D27+E13</f>
        <v>12643.709125</v>
      </c>
      <c r="F27" s="18">
        <f>E27+F13</f>
        <v>12011.52366875</v>
      </c>
    </row>
    <row r="28" ht="20.1" customHeight="1">
      <c r="B28" t="s" s="10">
        <v>15</v>
      </c>
      <c r="C28" s="17">
        <f>C16</f>
        <v>652.45</v>
      </c>
      <c r="D28" s="18">
        <f>C28+D16</f>
        <v>1268.0325</v>
      </c>
      <c r="E28" s="18">
        <f>D28+E16</f>
        <v>1848.590875</v>
      </c>
      <c r="F28" s="18">
        <f>E28+F16</f>
        <v>2395.87633125</v>
      </c>
    </row>
    <row r="29" ht="20.1" customHeight="1">
      <c r="B29" t="s" s="10">
        <v>13</v>
      </c>
      <c r="C29" s="17">
        <f>'Balance sheet'!H31+C22+C14</f>
        <v>4322</v>
      </c>
      <c r="D29" s="18">
        <f>C29+D22+D14</f>
        <v>4322</v>
      </c>
      <c r="E29" s="18">
        <f>D29+E22+E14</f>
        <v>4322</v>
      </c>
      <c r="F29" s="18">
        <f>E29+F22+F14</f>
        <v>4322</v>
      </c>
    </row>
    <row r="30" ht="20.1" customHeight="1">
      <c r="B30" t="s" s="10">
        <v>25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1" customHeight="1">
      <c r="B31" t="s" s="10">
        <v>26</v>
      </c>
      <c r="C31" s="17">
        <f>C19-C27-C28</f>
        <v>-14337.1</v>
      </c>
      <c r="D31" s="18">
        <f>D19-D27-D28</f>
        <v>-14252.2</v>
      </c>
      <c r="E31" s="18">
        <f>E19-E27-E28</f>
        <v>-14167.3</v>
      </c>
      <c r="F31" s="18">
        <f>F19-F27-F28</f>
        <v>-14082.4</v>
      </c>
    </row>
    <row r="32" ht="20.1" customHeight="1">
      <c r="B32" t="s" s="19">
        <v>27</v>
      </c>
      <c r="C32" s="17"/>
      <c r="D32" s="18"/>
      <c r="E32" s="18"/>
      <c r="F32" s="18"/>
    </row>
    <row r="33" ht="20.1" customHeight="1">
      <c r="B33" t="s" s="10">
        <v>28</v>
      </c>
      <c r="C33" s="17">
        <f>'Cashflow'!M31-(C12-C13)</f>
        <v>48268.5342056893</v>
      </c>
      <c r="D33" s="18">
        <f>C33-(D12-D13)</f>
        <v>49299.9497534355</v>
      </c>
      <c r="E33" s="18">
        <f>D33-(E12-E13)</f>
        <v>50404.7973871366</v>
      </c>
      <c r="F33" s="18">
        <f>E33-(F12-F13)</f>
        <v>51562.5059996747</v>
      </c>
    </row>
    <row r="34" ht="20.1" customHeight="1">
      <c r="B34" t="s" s="10">
        <v>29</v>
      </c>
      <c r="C34" s="17"/>
      <c r="D34" s="18"/>
      <c r="E34" s="18"/>
      <c r="F34" s="18">
        <v>151800</v>
      </c>
    </row>
    <row r="35" ht="20.1" customHeight="1">
      <c r="B35" t="s" s="10">
        <v>30</v>
      </c>
      <c r="C35" s="17"/>
      <c r="D35" s="18"/>
      <c r="E35" s="18"/>
      <c r="F35" s="21">
        <f>F34/(F19+F26)</f>
        <v>8.10490458850791</v>
      </c>
    </row>
    <row r="36" ht="20.1" customHeight="1">
      <c r="B36" t="s" s="10">
        <v>31</v>
      </c>
      <c r="C36" s="17"/>
      <c r="D36" s="18"/>
      <c r="E36" s="18"/>
      <c r="F36" s="16">
        <f>-(C14+D14+E14+F14)/F34</f>
        <v>0.04390897451202</v>
      </c>
    </row>
    <row r="37" ht="20.1" customHeight="1">
      <c r="B37" t="s" s="10">
        <v>32</v>
      </c>
      <c r="C37" s="17"/>
      <c r="D37" s="18"/>
      <c r="E37" s="18"/>
      <c r="F37" s="18">
        <f>SUM(C9:F11)</f>
        <v>6802.182330924640</v>
      </c>
    </row>
    <row r="38" ht="20.1" customHeight="1">
      <c r="B38" t="s" s="10">
        <v>33</v>
      </c>
      <c r="C38" s="17"/>
      <c r="D38" s="18"/>
      <c r="E38" s="18"/>
      <c r="F38" s="18">
        <f>'Balance sheet'!E31/F37</f>
        <v>2.75558623513876</v>
      </c>
    </row>
    <row r="39" ht="20.1" customHeight="1">
      <c r="B39" t="s" s="10">
        <v>27</v>
      </c>
      <c r="C39" s="17"/>
      <c r="D39" s="18"/>
      <c r="E39" s="18"/>
      <c r="F39" s="18">
        <f>F34/F37</f>
        <v>22.3163673972505</v>
      </c>
    </row>
    <row r="40" ht="20.1" customHeight="1">
      <c r="B40" t="s" s="22">
        <v>34</v>
      </c>
      <c r="C40" s="17"/>
      <c r="D40" s="18"/>
      <c r="E40" s="18"/>
      <c r="F40" s="18">
        <v>35</v>
      </c>
    </row>
    <row r="41" ht="20.1" customHeight="1">
      <c r="B41" t="s" s="10">
        <v>35</v>
      </c>
      <c r="C41" s="17"/>
      <c r="D41" s="18"/>
      <c r="E41" s="18"/>
      <c r="F41" s="18">
        <f>F37*F40</f>
        <v>238076.381582362</v>
      </c>
    </row>
    <row r="42" ht="20.1" customHeight="1">
      <c r="B42" t="s" s="10">
        <v>36</v>
      </c>
      <c r="C42" s="17"/>
      <c r="D42" s="18"/>
      <c r="E42" s="18"/>
      <c r="F42" s="18">
        <f>F34/F44</f>
        <v>38.1407035175879</v>
      </c>
    </row>
    <row r="43" ht="20.1" customHeight="1">
      <c r="B43" t="s" s="10">
        <v>37</v>
      </c>
      <c r="C43" s="17"/>
      <c r="D43" s="18"/>
      <c r="E43" s="18"/>
      <c r="F43" s="18">
        <f>F41/F42</f>
        <v>6242.05532739</v>
      </c>
    </row>
    <row r="44" ht="20.1" customHeight="1">
      <c r="B44" t="s" s="10">
        <v>38</v>
      </c>
      <c r="C44" s="17"/>
      <c r="D44" s="18"/>
      <c r="E44" s="18"/>
      <c r="F44" s="18">
        <f>'Share price'!C20</f>
        <v>3980</v>
      </c>
    </row>
    <row r="45" ht="20.1" customHeight="1">
      <c r="B45" t="s" s="10">
        <v>39</v>
      </c>
      <c r="C45" s="17"/>
      <c r="D45" s="18"/>
      <c r="E45" s="18"/>
      <c r="F45" s="16">
        <f>F43/F44-1</f>
        <v>0.568355609896985</v>
      </c>
    </row>
    <row r="46" ht="20.1" customHeight="1">
      <c r="B46" t="s" s="10">
        <v>40</v>
      </c>
      <c r="C46" s="17"/>
      <c r="D46" s="18"/>
      <c r="E46" s="18"/>
      <c r="F46" s="16">
        <f>'Sales'!C31/'Sales'!C27-1</f>
        <v>-0.0949595815501664</v>
      </c>
    </row>
    <row r="47" ht="20.1" customHeight="1">
      <c r="B47" t="s" s="10">
        <v>41</v>
      </c>
      <c r="C47" s="17"/>
      <c r="D47" s="18"/>
      <c r="E47" s="18"/>
      <c r="F47" s="16">
        <f>('Sales'!D23+'Sales'!D31+'Sales'!D24+'Sales'!D25+'Sales'!D26+'Sales'!D27+'Sales'!D28+'Sales'!D29+'Sales'!D30)/('Sales'!C23+'Sales'!C24+'Sales'!C25+'Sales'!C26+'Sales'!C27+'Sales'!C28+'Sales'!C29+'Sales'!C31+'Sales'!C30)-1</f>
        <v>0.0337318972926515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8906" style="23" customWidth="1"/>
    <col min="2" max="2" width="10.3984" style="23" customWidth="1"/>
    <col min="3" max="10" width="10.4844" style="23" customWidth="1"/>
    <col min="11" max="16384" width="16.3516" style="23" customWidth="1"/>
  </cols>
  <sheetData>
    <row r="1" ht="13.9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42</v>
      </c>
      <c r="C3" t="s" s="5">
        <v>5</v>
      </c>
      <c r="D3" t="s" s="5">
        <v>34</v>
      </c>
      <c r="E3" t="s" s="5">
        <v>23</v>
      </c>
      <c r="F3" t="s" s="5">
        <v>43</v>
      </c>
      <c r="G3" t="s" s="5">
        <v>44</v>
      </c>
      <c r="H3" t="s" s="5">
        <v>6</v>
      </c>
      <c r="I3" t="s" s="5">
        <v>45</v>
      </c>
      <c r="J3" t="s" s="5">
        <v>45</v>
      </c>
    </row>
    <row r="4" ht="20.25" customHeight="1">
      <c r="B4" s="24">
        <v>2015</v>
      </c>
      <c r="C4" s="25">
        <v>9413</v>
      </c>
      <c r="D4" s="8"/>
      <c r="E4" s="26">
        <v>125</v>
      </c>
      <c r="F4" s="26">
        <v>1592</v>
      </c>
      <c r="G4" s="9"/>
      <c r="H4" s="27">
        <f>(E4+F4-C4)/C4</f>
        <v>-0.817592690959312</v>
      </c>
      <c r="I4" s="27"/>
      <c r="J4" s="27">
        <f>('Cashflow'!E4-'Cashflow'!C4)/'Cashflow'!C4</f>
        <v>-0.886363636363636</v>
      </c>
    </row>
    <row r="5" ht="20.05" customHeight="1">
      <c r="B5" s="28"/>
      <c r="C5" s="13">
        <v>9389</v>
      </c>
      <c r="D5" s="20"/>
      <c r="E5" s="14">
        <v>121</v>
      </c>
      <c r="F5" s="14">
        <v>1339</v>
      </c>
      <c r="G5" s="16">
        <f>C5/C4-1</f>
        <v>-0.00254966535642197</v>
      </c>
      <c r="H5" s="16">
        <f>(E5+F5-C5)/C5</f>
        <v>-0.8444988816700389</v>
      </c>
      <c r="I5" s="16"/>
      <c r="J5" s="16">
        <f>('Cashflow'!E5-'Cashflow'!C5)/'Cashflow'!C5</f>
        <v>-0.848764812211287</v>
      </c>
    </row>
    <row r="6" ht="20.05" customHeight="1">
      <c r="B6" s="28"/>
      <c r="C6" s="13">
        <v>8745</v>
      </c>
      <c r="D6" s="20"/>
      <c r="E6" s="14">
        <v>122</v>
      </c>
      <c r="F6" s="14">
        <v>1252</v>
      </c>
      <c r="G6" s="16">
        <f>C6/C5-1</f>
        <v>-0.0685909042496539</v>
      </c>
      <c r="H6" s="16">
        <f>(E6+F6-C6)/C6</f>
        <v>-0.842881646655232</v>
      </c>
      <c r="I6" s="16"/>
      <c r="J6" s="16">
        <f>('Cashflow'!E6-'Cashflow'!C6)/'Cashflow'!C6</f>
        <v>-0.905988023952096</v>
      </c>
    </row>
    <row r="7" ht="20.05" customHeight="1">
      <c r="B7" s="28"/>
      <c r="C7" s="13">
        <v>8937</v>
      </c>
      <c r="D7" s="20"/>
      <c r="E7" s="14">
        <v>136</v>
      </c>
      <c r="F7" s="14">
        <v>1669</v>
      </c>
      <c r="G7" s="16">
        <f>C7/C6-1</f>
        <v>0.0219554030874786</v>
      </c>
      <c r="H7" s="16">
        <f>(E7+F7-C7)/C7</f>
        <v>-0.798030659057849</v>
      </c>
      <c r="I7" s="16"/>
      <c r="J7" s="16">
        <f>('Cashflow'!E7-'Cashflow'!C7)/'Cashflow'!C7</f>
        <v>-0.729489164086687</v>
      </c>
    </row>
    <row r="8" ht="20.05" customHeight="1">
      <c r="B8" s="29">
        <v>2016</v>
      </c>
      <c r="C8" s="13">
        <v>9988</v>
      </c>
      <c r="D8" s="20"/>
      <c r="E8" s="14">
        <v>127</v>
      </c>
      <c r="F8" s="14">
        <v>1570</v>
      </c>
      <c r="G8" s="16">
        <f>C8/C7-1</f>
        <v>0.117600984670471</v>
      </c>
      <c r="H8" s="16">
        <f>(E8+F8-C8)/C8</f>
        <v>-0.830096115338406</v>
      </c>
      <c r="I8" s="16"/>
      <c r="J8" s="16">
        <f>('Cashflow'!E8-'Cashflow'!C8)/'Cashflow'!C8</f>
        <v>-0.855425219941349</v>
      </c>
    </row>
    <row r="9" ht="20.05" customHeight="1">
      <c r="B9" s="28"/>
      <c r="C9" s="13">
        <v>10758</v>
      </c>
      <c r="D9" s="20"/>
      <c r="E9" s="14">
        <v>140</v>
      </c>
      <c r="F9" s="14">
        <v>1728</v>
      </c>
      <c r="G9" s="16">
        <f>C9/C8-1</f>
        <v>0.0770925110132159</v>
      </c>
      <c r="H9" s="16">
        <f>(E9+F9-C9)/C9</f>
        <v>-0.826361777282023</v>
      </c>
      <c r="I9" s="16"/>
      <c r="J9" s="16">
        <f>('Cashflow'!E9-'Cashflow'!C9)/'Cashflow'!C9</f>
        <v>-0.857412229505253</v>
      </c>
    </row>
    <row r="10" ht="20.05" customHeight="1">
      <c r="B10" s="28"/>
      <c r="C10" s="13">
        <v>9355</v>
      </c>
      <c r="D10" s="20"/>
      <c r="E10" s="14">
        <v>139</v>
      </c>
      <c r="F10" s="14">
        <v>1453</v>
      </c>
      <c r="G10" s="16">
        <f>C10/C9-1</f>
        <v>-0.130414575199851</v>
      </c>
      <c r="H10" s="16">
        <f>(E10+F10-C10)/C10</f>
        <v>-0.829823623730625</v>
      </c>
      <c r="I10" s="16"/>
      <c r="J10" s="16">
        <f>('Cashflow'!E10-'Cashflow'!C10)/'Cashflow'!C10</f>
        <v>-0.868141671870818</v>
      </c>
    </row>
    <row r="11" ht="20.05" customHeight="1">
      <c r="B11" s="28"/>
      <c r="C11" s="13">
        <v>9953</v>
      </c>
      <c r="D11" s="20"/>
      <c r="E11" s="14">
        <v>145</v>
      </c>
      <c r="F11" s="14">
        <v>1640</v>
      </c>
      <c r="G11" s="16">
        <f>C11/C10-1</f>
        <v>0.0639230358097274</v>
      </c>
      <c r="H11" s="16">
        <f>(E11+F11-C11)/C11</f>
        <v>-0.820657088315081</v>
      </c>
      <c r="I11" s="16"/>
      <c r="J11" s="16">
        <f>('Cashflow'!E11-'Cashflow'!C11)/'Cashflow'!C11</f>
        <v>-0.8021459624456569</v>
      </c>
    </row>
    <row r="12" ht="20.05" customHeight="1">
      <c r="B12" s="29">
        <v>2017</v>
      </c>
      <c r="C12" s="13">
        <v>10846</v>
      </c>
      <c r="D12" s="20"/>
      <c r="E12" s="14">
        <v>144</v>
      </c>
      <c r="F12" s="14">
        <v>1961</v>
      </c>
      <c r="G12" s="16">
        <f>C12/C11-1</f>
        <v>0.08972169195217521</v>
      </c>
      <c r="H12" s="16">
        <f>(E12+F12-C12)/C12</f>
        <v>-0.805919232896921</v>
      </c>
      <c r="I12" s="16"/>
      <c r="J12" s="16">
        <f>('Cashflow'!E12-'Cashflow'!C12)/'Cashflow'!C12</f>
        <v>-0.864332202768356</v>
      </c>
    </row>
    <row r="13" ht="20.05" customHeight="1">
      <c r="B13" s="28"/>
      <c r="C13" s="13">
        <v>10418</v>
      </c>
      <c r="D13" s="20"/>
      <c r="E13" s="14">
        <v>173</v>
      </c>
      <c r="F13" s="14">
        <v>1663</v>
      </c>
      <c r="G13" s="16">
        <f>C13/C12-1</f>
        <v>-0.0394615526461368</v>
      </c>
      <c r="H13" s="16">
        <f>(E13+F13-C13)/C13</f>
        <v>-0.8237665578805911</v>
      </c>
      <c r="I13" s="16"/>
      <c r="J13" s="16">
        <f>('Cashflow'!E13-'Cashflow'!C13)/'Cashflow'!C13</f>
        <v>-0.883206178769897</v>
      </c>
    </row>
    <row r="14" ht="20.05" customHeight="1">
      <c r="B14" s="28"/>
      <c r="C14" s="13">
        <v>9950</v>
      </c>
      <c r="D14" s="20"/>
      <c r="E14" s="14">
        <v>166</v>
      </c>
      <c r="F14" s="14">
        <v>1605</v>
      </c>
      <c r="G14" s="16">
        <f>C14/C13-1</f>
        <v>-0.0449222499520061</v>
      </c>
      <c r="H14" s="16">
        <f>(E14+F14-C14)/C14</f>
        <v>-0.822010050251256</v>
      </c>
      <c r="I14" s="16"/>
      <c r="J14" s="16">
        <f>('Cashflow'!E14-'Cashflow'!C14)/'Cashflow'!C14</f>
        <v>-0.774146508835135</v>
      </c>
    </row>
    <row r="15" ht="20.05" customHeight="1">
      <c r="B15" s="28"/>
      <c r="C15" s="13">
        <v>9991</v>
      </c>
      <c r="D15" s="20"/>
      <c r="E15" s="14">
        <v>171</v>
      </c>
      <c r="F15" s="14">
        <v>1776</v>
      </c>
      <c r="G15" s="16">
        <f>C15/C14-1</f>
        <v>0.00412060301507538</v>
      </c>
      <c r="H15" s="16">
        <f>(E15+F15-C15)/C15</f>
        <v>-0.805124612150936</v>
      </c>
      <c r="I15" s="16"/>
      <c r="J15" s="16">
        <f>('Cashflow'!E15-'Cashflow'!C15)/'Cashflow'!C15</f>
        <v>-0.843221895664952</v>
      </c>
    </row>
    <row r="16" ht="20.05" customHeight="1">
      <c r="B16" s="29">
        <v>2018</v>
      </c>
      <c r="C16" s="13">
        <v>10747</v>
      </c>
      <c r="D16" s="20"/>
      <c r="E16" s="14">
        <v>181</v>
      </c>
      <c r="F16" s="14">
        <v>1828</v>
      </c>
      <c r="G16" s="16">
        <f>C16/C15-1</f>
        <v>0.075668101291162</v>
      </c>
      <c r="H16" s="16">
        <f>(E16+F16-C16)/C16</f>
        <v>-0.813064110914674</v>
      </c>
      <c r="I16" s="16">
        <f>AVERAGE(J13:J16)</f>
        <v>-0.827190429443227</v>
      </c>
      <c r="J16" s="16">
        <f>('Cashflow'!E16-'Cashflow'!C16)/'Cashflow'!C16</f>
        <v>-0.808187134502924</v>
      </c>
    </row>
    <row r="17" ht="20.05" customHeight="1">
      <c r="B17" s="28"/>
      <c r="C17" s="13">
        <v>10437</v>
      </c>
      <c r="D17" s="20"/>
      <c r="E17" s="14">
        <v>193</v>
      </c>
      <c r="F17" s="14">
        <v>1686</v>
      </c>
      <c r="G17" s="16">
        <f>C17/C16-1</f>
        <v>-0.0288452591420862</v>
      </c>
      <c r="H17" s="16">
        <f>(E17+F17-C17)/C17</f>
        <v>-0.819967423589154</v>
      </c>
      <c r="I17" s="16">
        <f>AVERAGE(J14:J17)</f>
        <v>-0.827450855812724</v>
      </c>
      <c r="J17" s="16">
        <f>('Cashflow'!E17-'Cashflow'!C17)/'Cashflow'!C17</f>
        <v>-0.884247884247884</v>
      </c>
    </row>
    <row r="18" ht="20.05" customHeight="1">
      <c r="B18" s="28"/>
      <c r="C18" s="13">
        <v>10347</v>
      </c>
      <c r="D18" s="20"/>
      <c r="E18" s="14">
        <v>420</v>
      </c>
      <c r="F18" s="14">
        <v>3771</v>
      </c>
      <c r="G18" s="16">
        <f>C18/C17-1</f>
        <v>-0.00862316757688991</v>
      </c>
      <c r="H18" s="16">
        <f>(E18+F18-C18)/C18</f>
        <v>-0.594955059437518</v>
      </c>
      <c r="I18" s="16">
        <f>AVERAGE(J15:J18)</f>
        <v>-0.8325435042578641</v>
      </c>
      <c r="J18" s="16">
        <f>('Cashflow'!E18-'Cashflow'!C18)/'Cashflow'!C18</f>
        <v>-0.794517102615694</v>
      </c>
    </row>
    <row r="19" ht="20.05" customHeight="1">
      <c r="B19" s="28"/>
      <c r="C19" s="13">
        <v>10271</v>
      </c>
      <c r="D19" s="20"/>
      <c r="E19" s="14">
        <v>254</v>
      </c>
      <c r="F19" s="14">
        <v>1824</v>
      </c>
      <c r="G19" s="16">
        <f>C19/C18-1</f>
        <v>-0.00734512419058664</v>
      </c>
      <c r="H19" s="16">
        <f>(E19+F19-C19)/C19</f>
        <v>-0.797682796222374</v>
      </c>
      <c r="I19" s="16">
        <f>AVERAGE(J16:J19)</f>
        <v>-0.826767719478894</v>
      </c>
      <c r="J19" s="16">
        <f>('Cashflow'!E19-'Cashflow'!C19)/'Cashflow'!C19</f>
        <v>-0.820118756549074</v>
      </c>
    </row>
    <row r="20" ht="20.05" customHeight="1">
      <c r="B20" s="29">
        <v>2019</v>
      </c>
      <c r="C20" s="13">
        <v>10665</v>
      </c>
      <c r="D20" s="20"/>
      <c r="E20" s="14">
        <v>235</v>
      </c>
      <c r="F20" s="14">
        <v>1749</v>
      </c>
      <c r="G20" s="16">
        <f>C20/C19-1</f>
        <v>0.0383604322850745</v>
      </c>
      <c r="H20" s="16">
        <f>(E20+F20-C20)/C20</f>
        <v>-0.8139709329582751</v>
      </c>
      <c r="I20" s="16">
        <f>AVERAGE(J17:J20)</f>
        <v>-0.8337955873571981</v>
      </c>
      <c r="J20" s="16">
        <f>('Cashflow'!E20-'Cashflow'!C20)/'Cashflow'!C20</f>
        <v>-0.836298606016141</v>
      </c>
    </row>
    <row r="21" ht="20.05" customHeight="1">
      <c r="B21" s="28"/>
      <c r="C21" s="13">
        <v>10792</v>
      </c>
      <c r="D21" s="20"/>
      <c r="E21" s="14">
        <v>286</v>
      </c>
      <c r="F21" s="14">
        <v>1948</v>
      </c>
      <c r="G21" s="16">
        <f>C21/C20-1</f>
        <v>0.0119081106422879</v>
      </c>
      <c r="H21" s="16">
        <f>(E21+F21-C21)/C21</f>
        <v>-0.79299481097109</v>
      </c>
      <c r="I21" s="16">
        <f>AVERAGE(J18:J21)</f>
        <v>-0.821421159667885</v>
      </c>
      <c r="J21" s="16">
        <f>('Cashflow'!E21-'Cashflow'!C21)/'Cashflow'!C21</f>
        <v>-0.834750173490632</v>
      </c>
    </row>
    <row r="22" ht="20.05" customHeight="1">
      <c r="B22" s="28"/>
      <c r="C22" s="13">
        <v>10904</v>
      </c>
      <c r="D22" s="20"/>
      <c r="E22" s="14">
        <v>273</v>
      </c>
      <c r="F22" s="14">
        <v>1813</v>
      </c>
      <c r="G22" s="16">
        <f>C22/C21-1</f>
        <v>0.0103780578206079</v>
      </c>
      <c r="H22" s="16">
        <f>(E22+F22-C22)/C22</f>
        <v>-0.808694057226706</v>
      </c>
      <c r="I22" s="16">
        <f>AVERAGE(J19:J22)</f>
        <v>-0.836183932742252</v>
      </c>
      <c r="J22" s="16">
        <f>('Cashflow'!E22-'Cashflow'!C22)/'Cashflow'!C22</f>
        <v>-0.853568194913162</v>
      </c>
    </row>
    <row r="23" ht="20.05" customHeight="1">
      <c r="B23" s="28"/>
      <c r="C23" s="13">
        <v>10562</v>
      </c>
      <c r="D23" s="14">
        <v>10887.26</v>
      </c>
      <c r="E23" s="14">
        <v>332</v>
      </c>
      <c r="F23" s="14">
        <v>1883</v>
      </c>
      <c r="G23" s="16">
        <f>C23/C22-1</f>
        <v>-0.0313646368305209</v>
      </c>
      <c r="H23" s="16">
        <f>(E23+F23-C23)/C23</f>
        <v>-0.790285930694944</v>
      </c>
      <c r="I23" s="16">
        <f>AVERAGE(J20:J23)</f>
        <v>-0.8149126273095459</v>
      </c>
      <c r="J23" s="16">
        <f>('Cashflow'!E23-'Cashflow'!C23)/'Cashflow'!C23</f>
        <v>-0.73503353481825</v>
      </c>
    </row>
    <row r="24" ht="20.05" customHeight="1">
      <c r="B24" s="29">
        <v>2020</v>
      </c>
      <c r="C24" s="13">
        <v>11153</v>
      </c>
      <c r="D24" s="14">
        <v>10665</v>
      </c>
      <c r="E24" s="14">
        <v>288</v>
      </c>
      <c r="F24" s="14">
        <v>1863</v>
      </c>
      <c r="G24" s="16">
        <f>C24/C23-1</f>
        <v>0.0559553114940352</v>
      </c>
      <c r="H24" s="16">
        <f>(E24+F24-C24)/C24</f>
        <v>-0.807137093158791</v>
      </c>
      <c r="I24" s="16">
        <f>AVERAGE(J21:J24)</f>
        <v>-0.83476585448652</v>
      </c>
      <c r="J24" s="16">
        <f>('Cashflow'!E24-'Cashflow'!C24)/'Cashflow'!C24</f>
        <v>-0.915711514724035</v>
      </c>
    </row>
    <row r="25" ht="20.05" customHeight="1">
      <c r="B25" s="28"/>
      <c r="C25" s="13">
        <v>10619</v>
      </c>
      <c r="D25" s="14">
        <v>11115.76</v>
      </c>
      <c r="E25" s="14">
        <v>264</v>
      </c>
      <c r="F25" s="14">
        <v>1757</v>
      </c>
      <c r="G25" s="16">
        <f>C25/C24-1</f>
        <v>-0.0478794943064646</v>
      </c>
      <c r="H25" s="16">
        <f>(E25+F25-C25)/C25</f>
        <v>-0.809680760900273</v>
      </c>
      <c r="I25" s="16">
        <f>AVERAGE(J22:J25)</f>
        <v>-0.813190800042117</v>
      </c>
      <c r="J25" s="16">
        <f>('Cashflow'!E25-'Cashflow'!C25)/'Cashflow'!C25</f>
        <v>-0.74844995571302</v>
      </c>
    </row>
    <row r="26" ht="20.05" customHeight="1">
      <c r="B26" s="28"/>
      <c r="C26" s="13">
        <v>10685</v>
      </c>
      <c r="D26" s="14">
        <v>10794.96</v>
      </c>
      <c r="E26" s="14">
        <f>777.7-E24-E25</f>
        <v>225.7</v>
      </c>
      <c r="F26" s="14">
        <f>5436.339-SUM(F24:F25)</f>
        <v>1816.339</v>
      </c>
      <c r="G26" s="16">
        <f>C26/C25-1</f>
        <v>0.00621527450795743</v>
      </c>
      <c r="H26" s="16">
        <f>(E26+F26-C26)/C26</f>
        <v>-0.808887318671034</v>
      </c>
      <c r="I26" s="16">
        <f>AVERAGE(J23:J26)</f>
        <v>-0.813948435080516</v>
      </c>
      <c r="J26" s="16">
        <f>('Cashflow'!E26-'Cashflow'!C26)/'Cashflow'!C26</f>
        <v>-0.85659873506676</v>
      </c>
    </row>
    <row r="27" ht="20.05" customHeight="1">
      <c r="B27" s="28"/>
      <c r="C27" s="13">
        <v>10515</v>
      </c>
      <c r="D27" s="14">
        <v>10898.7</v>
      </c>
      <c r="E27" s="14">
        <v>325</v>
      </c>
      <c r="F27" s="14">
        <v>1727.661</v>
      </c>
      <c r="G27" s="16">
        <f>C27/C26-1</f>
        <v>-0.015910154422087</v>
      </c>
      <c r="H27" s="16">
        <f>(E27+F27-C27)/C27</f>
        <v>-0.804787351402758</v>
      </c>
      <c r="I27" s="16">
        <f>AVERAGE(J24:J27)</f>
        <v>-0.824913200141798</v>
      </c>
      <c r="J27" s="16">
        <f>('Cashflow'!E27-'Cashflow'!C27)/'Cashflow'!C27</f>
        <v>-0.778892595063376</v>
      </c>
    </row>
    <row r="28" ht="20.05" customHeight="1">
      <c r="B28" s="29">
        <v>2021</v>
      </c>
      <c r="C28" s="17">
        <v>10282.5</v>
      </c>
      <c r="D28" s="14">
        <v>11326.1</v>
      </c>
      <c r="E28" s="18">
        <v>258.5</v>
      </c>
      <c r="F28" s="18">
        <v>1698.1</v>
      </c>
      <c r="G28" s="16">
        <f>C28/C27-1</f>
        <v>-0.0221112696148359</v>
      </c>
      <c r="H28" s="16">
        <f>(E28+F28-C28)/C28</f>
        <v>-0.809715536105033</v>
      </c>
      <c r="I28" s="16">
        <f>AVERAGE(J25:J28)</f>
        <v>-0.831407658163744</v>
      </c>
      <c r="J28" s="16">
        <f>('Cashflow'!E28-'Cashflow'!C28)/'Cashflow'!C28</f>
        <v>-0.94168934681182</v>
      </c>
    </row>
    <row r="29" ht="20.05" customHeight="1">
      <c r="B29" s="28"/>
      <c r="C29" s="13">
        <v>9894.5</v>
      </c>
      <c r="D29" s="14">
        <v>10488.15</v>
      </c>
      <c r="E29" s="14">
        <v>258.5</v>
      </c>
      <c r="F29" s="14">
        <v>1347.9</v>
      </c>
      <c r="G29" s="16">
        <f>C29/C28-1</f>
        <v>-0.037734014101629</v>
      </c>
      <c r="H29" s="16">
        <f>(E29+F29-C29)/C29</f>
        <v>-0.837647177724999</v>
      </c>
      <c r="I29" s="16">
        <f>AVERAGE(J26:J29)</f>
        <v>-0.840611252311356</v>
      </c>
      <c r="J29" s="16">
        <f>('Cashflow'!E29-'Cashflow'!C29)/'Cashflow'!C29</f>
        <v>-0.785264332303467</v>
      </c>
    </row>
    <row r="30" ht="20.05" customHeight="1">
      <c r="B30" s="28"/>
      <c r="C30" s="13">
        <f>30029.5-SUM(C28:C29)</f>
        <v>9852.5</v>
      </c>
      <c r="D30" s="14">
        <v>10191.335</v>
      </c>
      <c r="E30" s="18">
        <f>791.6-SUM(E28:E29)</f>
        <v>274.6</v>
      </c>
      <c r="F30" s="18">
        <f>4378.8-SUM(F28:F29)</f>
        <v>1332.8</v>
      </c>
      <c r="G30" s="16">
        <f>C30/C29-1</f>
        <v>-0.00424478245489919</v>
      </c>
      <c r="H30" s="16">
        <f>(E30+F30-C30)/C30</f>
        <v>-0.836853590459274</v>
      </c>
      <c r="I30" s="16">
        <f>AVERAGE(J27:J30)</f>
        <v>-0.827764595253063</v>
      </c>
      <c r="J30" s="16">
        <f>('Cashflow'!E30-'Cashflow'!C30)/'Cashflow'!C30</f>
        <v>-0.80521210683359</v>
      </c>
    </row>
    <row r="31" ht="20.05" customHeight="1">
      <c r="B31" s="28"/>
      <c r="C31" s="13">
        <f>39546-C30-C29-C28</f>
        <v>9516.5</v>
      </c>
      <c r="D31" s="14">
        <v>9852.5</v>
      </c>
      <c r="E31" s="18">
        <f>1065-E30-E29-E28</f>
        <v>273.4</v>
      </c>
      <c r="F31" s="18">
        <f>5758-F30-F29-F28</f>
        <v>1379.2</v>
      </c>
      <c r="G31" s="16">
        <f>C31/C30-1</f>
        <v>-0.0341030195381883</v>
      </c>
      <c r="H31" s="16">
        <f>(E31+F31-C31)/C31</f>
        <v>-0.826343718804182</v>
      </c>
      <c r="I31" s="16">
        <f>AVERAGE(J28:J31)</f>
        <v>-0.823563543444257</v>
      </c>
      <c r="J31" s="16">
        <f>('Cashflow'!E31-'Cashflow'!C31)/'Cashflow'!C31</f>
        <v>-0.762088387828152</v>
      </c>
    </row>
    <row r="32" ht="20.05" customHeight="1">
      <c r="B32" s="29">
        <v>2022</v>
      </c>
      <c r="C32" s="13"/>
      <c r="D32" s="14">
        <f>'Model'!C6</f>
        <v>9992.325000000001</v>
      </c>
      <c r="E32" s="20"/>
      <c r="F32" s="30"/>
      <c r="G32" s="12"/>
      <c r="H32" s="12">
        <f>'Model'!C7</f>
        <v>-0.809715536105033</v>
      </c>
      <c r="I32" s="12"/>
      <c r="J32" s="12"/>
    </row>
    <row r="33" ht="20.05" customHeight="1">
      <c r="B33" s="28"/>
      <c r="C33" s="13"/>
      <c r="D33" s="14">
        <f>'Model'!D6</f>
        <v>10092.24825</v>
      </c>
      <c r="E33" s="20"/>
      <c r="F33" s="30"/>
      <c r="G33" s="12"/>
      <c r="H33" s="12"/>
      <c r="I33" s="12"/>
      <c r="J33" s="12"/>
    </row>
    <row r="34" ht="20.05" customHeight="1">
      <c r="B34" s="28"/>
      <c r="C34" s="13"/>
      <c r="D34" s="14">
        <f>'Model'!E6</f>
        <v>10294.093215</v>
      </c>
      <c r="E34" s="20"/>
      <c r="F34" s="30"/>
      <c r="G34" s="12"/>
      <c r="H34" s="12"/>
      <c r="I34" s="12"/>
      <c r="J34" s="12"/>
    </row>
    <row r="35" ht="20.05" customHeight="1">
      <c r="B35" s="28"/>
      <c r="C35" s="13"/>
      <c r="D35" s="14">
        <f>'Model'!F6</f>
        <v>10397.03414715</v>
      </c>
      <c r="E35" s="20"/>
      <c r="F35" s="30"/>
      <c r="G35" s="12"/>
      <c r="H35" s="12"/>
      <c r="I35" s="12"/>
      <c r="J35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5469" style="31" customWidth="1"/>
    <col min="2" max="2" width="8.94531" style="31" customWidth="1"/>
    <col min="3" max="5" width="11.125" style="31" customWidth="1"/>
    <col min="6" max="6" width="12.8672" style="31" customWidth="1"/>
    <col min="7" max="7" width="11.125" style="31" customWidth="1"/>
    <col min="8" max="13" width="12.0469" style="31" customWidth="1"/>
    <col min="14" max="16384" width="16.3516" style="31" customWidth="1"/>
  </cols>
  <sheetData>
    <row r="1" ht="41.8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46</v>
      </c>
      <c r="D3" t="s" s="5">
        <v>47</v>
      </c>
      <c r="E3" t="s" s="5">
        <v>8</v>
      </c>
      <c r="F3" t="s" s="5">
        <v>48</v>
      </c>
      <c r="G3" t="s" s="5">
        <v>10</v>
      </c>
      <c r="H3" t="s" s="5">
        <v>12</v>
      </c>
      <c r="I3" t="s" s="5">
        <v>13</v>
      </c>
      <c r="J3" t="s" s="5">
        <v>11</v>
      </c>
      <c r="K3" t="s" s="5">
        <v>49</v>
      </c>
      <c r="L3" t="s" s="5">
        <v>32</v>
      </c>
      <c r="M3" t="s" s="5">
        <v>28</v>
      </c>
    </row>
    <row r="4" ht="20.25" customHeight="1">
      <c r="B4" s="24">
        <v>2015</v>
      </c>
      <c r="C4" s="32">
        <v>9284</v>
      </c>
      <c r="D4" s="33"/>
      <c r="E4" s="33">
        <v>1055</v>
      </c>
      <c r="F4" s="33">
        <v>-261</v>
      </c>
      <c r="G4" s="33"/>
      <c r="H4" s="33"/>
      <c r="I4" s="33"/>
      <c r="J4" s="33">
        <v>-1192</v>
      </c>
      <c r="K4" s="33">
        <f>E4+F4</f>
        <v>794</v>
      </c>
      <c r="L4" s="34"/>
      <c r="M4" s="33">
        <f>-J4</f>
        <v>1192</v>
      </c>
    </row>
    <row r="5" ht="20.05" customHeight="1">
      <c r="B5" s="28"/>
      <c r="C5" s="17">
        <v>9958</v>
      </c>
      <c r="D5" s="18"/>
      <c r="E5" s="18">
        <v>1506</v>
      </c>
      <c r="F5" s="18">
        <v>-354</v>
      </c>
      <c r="G5" s="18"/>
      <c r="H5" s="18"/>
      <c r="I5" s="18"/>
      <c r="J5" s="18">
        <v>-174</v>
      </c>
      <c r="K5" s="18">
        <f>E5+F5</f>
        <v>1152</v>
      </c>
      <c r="L5" s="35"/>
      <c r="M5" s="18">
        <f>-J5+M4</f>
        <v>1366</v>
      </c>
    </row>
    <row r="6" ht="20.05" customHeight="1">
      <c r="B6" s="28"/>
      <c r="C6" s="17">
        <v>10020</v>
      </c>
      <c r="D6" s="18"/>
      <c r="E6" s="18">
        <v>942</v>
      </c>
      <c r="F6" s="18">
        <v>-224</v>
      </c>
      <c r="G6" s="18"/>
      <c r="H6" s="18"/>
      <c r="I6" s="18"/>
      <c r="J6" s="18">
        <v>-1374</v>
      </c>
      <c r="K6" s="18">
        <f>E6+F6</f>
        <v>718</v>
      </c>
      <c r="L6" s="35"/>
      <c r="M6" s="18">
        <f>-J6+M5</f>
        <v>2740</v>
      </c>
    </row>
    <row r="7" ht="20.05" customHeight="1">
      <c r="B7" s="28"/>
      <c r="C7" s="17">
        <v>10336</v>
      </c>
      <c r="D7" s="18"/>
      <c r="E7" s="18">
        <v>2796</v>
      </c>
      <c r="F7" s="18">
        <v>-590</v>
      </c>
      <c r="G7" s="18"/>
      <c r="H7" s="18"/>
      <c r="I7" s="18"/>
      <c r="J7" s="18">
        <v>-2402</v>
      </c>
      <c r="K7" s="18">
        <f>E7+F7</f>
        <v>2206</v>
      </c>
      <c r="L7" s="35"/>
      <c r="M7" s="18">
        <f>-J7+M6</f>
        <v>5142</v>
      </c>
    </row>
    <row r="8" ht="20.05" customHeight="1">
      <c r="B8" s="29">
        <v>2016</v>
      </c>
      <c r="C8" s="17">
        <v>10230</v>
      </c>
      <c r="D8" s="18"/>
      <c r="E8" s="18">
        <v>1479</v>
      </c>
      <c r="F8" s="18">
        <v>-426</v>
      </c>
      <c r="G8" s="18"/>
      <c r="H8" s="18"/>
      <c r="I8" s="18"/>
      <c r="J8" s="18">
        <v>-100</v>
      </c>
      <c r="K8" s="18">
        <f>E8+F8</f>
        <v>1053</v>
      </c>
      <c r="L8" s="18">
        <f>AVERAGE(K5:K8)</f>
        <v>1282.25</v>
      </c>
      <c r="M8" s="18">
        <f>-J8+M7</f>
        <v>5242</v>
      </c>
    </row>
    <row r="9" ht="20.05" customHeight="1">
      <c r="B9" s="28"/>
      <c r="C9" s="17">
        <v>11137</v>
      </c>
      <c r="D9" s="18"/>
      <c r="E9" s="18">
        <v>1588</v>
      </c>
      <c r="F9" s="18">
        <v>-347</v>
      </c>
      <c r="G9" s="18"/>
      <c r="H9" s="18"/>
      <c r="I9" s="18"/>
      <c r="J9" s="18">
        <v>-976</v>
      </c>
      <c r="K9" s="18">
        <f>E9+F9</f>
        <v>1241</v>
      </c>
      <c r="L9" s="18">
        <f>AVERAGE(K6:K9)</f>
        <v>1304.5</v>
      </c>
      <c r="M9" s="18">
        <f>-J9+M8</f>
        <v>6218</v>
      </c>
    </row>
    <row r="10" ht="20.05" customHeight="1">
      <c r="B10" s="28"/>
      <c r="C10" s="17">
        <v>11209</v>
      </c>
      <c r="D10" s="18"/>
      <c r="E10" s="18">
        <v>1478</v>
      </c>
      <c r="F10" s="18">
        <v>-474</v>
      </c>
      <c r="G10" s="18"/>
      <c r="H10" s="18"/>
      <c r="I10" s="18"/>
      <c r="J10" s="18">
        <v>-2329</v>
      </c>
      <c r="K10" s="18">
        <f>E10+F10</f>
        <v>1004</v>
      </c>
      <c r="L10" s="18">
        <f>AVERAGE(K7:K10)</f>
        <v>1376</v>
      </c>
      <c r="M10" s="18">
        <f>-J10+M9</f>
        <v>8547</v>
      </c>
    </row>
    <row r="11" ht="20.05" customHeight="1">
      <c r="B11" s="28"/>
      <c r="C11" s="17">
        <v>10811</v>
      </c>
      <c r="D11" s="18"/>
      <c r="E11" s="18">
        <v>2139</v>
      </c>
      <c r="F11" s="18">
        <v>-532</v>
      </c>
      <c r="G11" s="18"/>
      <c r="H11" s="18"/>
      <c r="I11" s="18"/>
      <c r="J11" s="18">
        <v>-1745</v>
      </c>
      <c r="K11" s="18">
        <f>E11+F11</f>
        <v>1607</v>
      </c>
      <c r="L11" s="18">
        <f>AVERAGE(K8:K11)</f>
        <v>1226.25</v>
      </c>
      <c r="M11" s="18">
        <f>-J11+M10</f>
        <v>10292</v>
      </c>
    </row>
    <row r="12" ht="20.05" customHeight="1">
      <c r="B12" s="29">
        <v>2017</v>
      </c>
      <c r="C12" s="17">
        <v>10909</v>
      </c>
      <c r="D12" s="18"/>
      <c r="E12" s="18">
        <v>1480</v>
      </c>
      <c r="F12" s="18">
        <v>-583</v>
      </c>
      <c r="G12" s="18"/>
      <c r="H12" s="18"/>
      <c r="I12" s="18"/>
      <c r="J12" s="18">
        <v>-694</v>
      </c>
      <c r="K12" s="18">
        <f>E12+F12</f>
        <v>897</v>
      </c>
      <c r="L12" s="18">
        <f>AVERAGE(K9:K12)</f>
        <v>1187.25</v>
      </c>
      <c r="M12" s="18">
        <f>-J12+M11</f>
        <v>10986</v>
      </c>
    </row>
    <row r="13" ht="20.05" customHeight="1">
      <c r="B13" s="28"/>
      <c r="C13" s="17">
        <v>10617</v>
      </c>
      <c r="D13" s="18"/>
      <c r="E13" s="18">
        <v>1240</v>
      </c>
      <c r="F13" s="18">
        <v>-170</v>
      </c>
      <c r="G13" s="18"/>
      <c r="H13" s="18"/>
      <c r="I13" s="18"/>
      <c r="J13" s="18">
        <v>-1250</v>
      </c>
      <c r="K13" s="18">
        <f>E13+F13</f>
        <v>1070</v>
      </c>
      <c r="L13" s="18">
        <f>AVERAGE(K10:K13)</f>
        <v>1144.5</v>
      </c>
      <c r="M13" s="18">
        <f>-J13+M12</f>
        <v>12236</v>
      </c>
    </row>
    <row r="14" ht="20.05" customHeight="1">
      <c r="B14" s="28"/>
      <c r="C14" s="17">
        <v>11658</v>
      </c>
      <c r="D14" s="18"/>
      <c r="E14" s="18">
        <v>2633</v>
      </c>
      <c r="F14" s="18">
        <v>-464</v>
      </c>
      <c r="G14" s="18"/>
      <c r="H14" s="18"/>
      <c r="I14" s="18"/>
      <c r="J14" s="18">
        <v>-2153</v>
      </c>
      <c r="K14" s="18">
        <f>E14+F14</f>
        <v>2169</v>
      </c>
      <c r="L14" s="18">
        <f>AVERAGE(K11:K14)</f>
        <v>1435.75</v>
      </c>
      <c r="M14" s="18">
        <f>-J14+M13</f>
        <v>14389</v>
      </c>
    </row>
    <row r="15" ht="20.05" customHeight="1">
      <c r="B15" s="28"/>
      <c r="C15" s="17">
        <v>10888</v>
      </c>
      <c r="D15" s="18"/>
      <c r="E15" s="18">
        <v>1707</v>
      </c>
      <c r="F15" s="18">
        <v>-385</v>
      </c>
      <c r="G15" s="18"/>
      <c r="H15" s="18"/>
      <c r="I15" s="18"/>
      <c r="J15" s="18">
        <v>-1340</v>
      </c>
      <c r="K15" s="18">
        <f>E15+F15</f>
        <v>1322</v>
      </c>
      <c r="L15" s="18">
        <f>AVERAGE(K12:K15)</f>
        <v>1364.5</v>
      </c>
      <c r="M15" s="18">
        <f>-J15+M14</f>
        <v>15729</v>
      </c>
    </row>
    <row r="16" ht="20.05" customHeight="1">
      <c r="B16" s="29">
        <v>2018</v>
      </c>
      <c r="C16" s="17">
        <v>11115</v>
      </c>
      <c r="D16" s="18"/>
      <c r="E16" s="18">
        <v>2132</v>
      </c>
      <c r="F16" s="18">
        <v>-169</v>
      </c>
      <c r="G16" s="18"/>
      <c r="H16" s="18"/>
      <c r="I16" s="18"/>
      <c r="J16" s="18">
        <v>-1417</v>
      </c>
      <c r="K16" s="18">
        <f>E16+F16</f>
        <v>1963</v>
      </c>
      <c r="L16" s="18">
        <f>AVERAGE(K13:K16)</f>
        <v>1631</v>
      </c>
      <c r="M16" s="18">
        <f>-J16+M15</f>
        <v>17146</v>
      </c>
    </row>
    <row r="17" ht="20.05" customHeight="1">
      <c r="B17" s="28"/>
      <c r="C17" s="17">
        <v>10989</v>
      </c>
      <c r="D17" s="18"/>
      <c r="E17" s="18">
        <v>1272</v>
      </c>
      <c r="F17" s="18">
        <v>-405</v>
      </c>
      <c r="G17" s="18"/>
      <c r="H17" s="18"/>
      <c r="I17" s="18"/>
      <c r="J17" s="18">
        <v>-1157</v>
      </c>
      <c r="K17" s="18">
        <f>E17+F17</f>
        <v>867</v>
      </c>
      <c r="L17" s="18">
        <f>AVERAGE(K14:K17)</f>
        <v>1580.25</v>
      </c>
      <c r="M17" s="18">
        <f>-J17+M16</f>
        <v>18303</v>
      </c>
    </row>
    <row r="18" ht="20.05" customHeight="1">
      <c r="B18" s="28"/>
      <c r="C18" s="17">
        <v>11928</v>
      </c>
      <c r="D18" s="18"/>
      <c r="E18" s="18">
        <v>2451</v>
      </c>
      <c r="F18" s="18">
        <v>2812</v>
      </c>
      <c r="G18" s="18"/>
      <c r="H18" s="18"/>
      <c r="I18" s="18"/>
      <c r="J18" s="18">
        <v>-4862</v>
      </c>
      <c r="K18" s="18">
        <f>E18+F18</f>
        <v>5263</v>
      </c>
      <c r="L18" s="18">
        <f>AVERAGE(K15:K18)</f>
        <v>2353.75</v>
      </c>
      <c r="M18" s="18">
        <f>-J18+M17</f>
        <v>23165</v>
      </c>
    </row>
    <row r="19" ht="20.05" customHeight="1">
      <c r="B19" s="28"/>
      <c r="C19" s="17">
        <v>11452</v>
      </c>
      <c r="D19" s="18"/>
      <c r="E19" s="18">
        <v>2060</v>
      </c>
      <c r="F19" s="18">
        <v>-296</v>
      </c>
      <c r="G19" s="18"/>
      <c r="H19" s="18"/>
      <c r="I19" s="18"/>
      <c r="J19" s="18">
        <v>-2480</v>
      </c>
      <c r="K19" s="18">
        <f>E19+F19</f>
        <v>1764</v>
      </c>
      <c r="L19" s="18">
        <f>AVERAGE(K16:K19)</f>
        <v>2464.25</v>
      </c>
      <c r="M19" s="18">
        <f>-J19+M18</f>
        <v>25645</v>
      </c>
    </row>
    <row r="20" ht="20.05" customHeight="1">
      <c r="B20" s="29">
        <v>2019</v>
      </c>
      <c r="C20" s="17">
        <v>10904</v>
      </c>
      <c r="D20" s="18"/>
      <c r="E20" s="18">
        <v>1785</v>
      </c>
      <c r="F20" s="18">
        <v>-289</v>
      </c>
      <c r="G20" s="18"/>
      <c r="H20" s="18"/>
      <c r="I20" s="18"/>
      <c r="J20" s="18">
        <v>-487</v>
      </c>
      <c r="K20" s="18">
        <f>E20+F20</f>
        <v>1496</v>
      </c>
      <c r="L20" s="18">
        <f>AVERAGE(K17:K20)</f>
        <v>2347.5</v>
      </c>
      <c r="M20" s="18">
        <f>-J20+M19</f>
        <v>26132</v>
      </c>
    </row>
    <row r="21" ht="20.05" customHeight="1">
      <c r="B21" s="28"/>
      <c r="C21" s="17">
        <v>11528</v>
      </c>
      <c r="D21" s="18"/>
      <c r="E21" s="18">
        <v>1905</v>
      </c>
      <c r="F21" s="18">
        <v>-348</v>
      </c>
      <c r="G21" s="18"/>
      <c r="H21" s="18"/>
      <c r="I21" s="18"/>
      <c r="J21" s="18">
        <v>-2274</v>
      </c>
      <c r="K21" s="18">
        <f>E21+F21</f>
        <v>1557</v>
      </c>
      <c r="L21" s="18">
        <f>AVERAGE(K18:K21)</f>
        <v>2520</v>
      </c>
      <c r="M21" s="18">
        <f>-J21+M20</f>
        <v>28406</v>
      </c>
    </row>
    <row r="22" ht="20.05" customHeight="1">
      <c r="B22" s="28"/>
      <c r="C22" s="17">
        <v>12149</v>
      </c>
      <c r="D22" s="18"/>
      <c r="E22" s="18">
        <v>1779</v>
      </c>
      <c r="F22" s="18">
        <v>-321</v>
      </c>
      <c r="G22" s="18"/>
      <c r="H22" s="18"/>
      <c r="I22" s="18"/>
      <c r="J22" s="18">
        <v>-1570</v>
      </c>
      <c r="K22" s="18">
        <f>E22+F22</f>
        <v>1458</v>
      </c>
      <c r="L22" s="18">
        <f>AVERAGE(K19:K22)</f>
        <v>1568.75</v>
      </c>
      <c r="M22" s="18">
        <f>-J22+M21</f>
        <v>29976</v>
      </c>
    </row>
    <row r="23" ht="20.05" customHeight="1">
      <c r="B23" s="28"/>
      <c r="C23" s="17">
        <v>12077</v>
      </c>
      <c r="D23" s="18"/>
      <c r="E23" s="18">
        <v>3200</v>
      </c>
      <c r="F23" s="18">
        <v>-488</v>
      </c>
      <c r="G23" s="18"/>
      <c r="H23" s="18"/>
      <c r="I23" s="18"/>
      <c r="J23" s="18">
        <v>-2606</v>
      </c>
      <c r="K23" s="18">
        <f>E23+F23</f>
        <v>2712</v>
      </c>
      <c r="L23" s="18">
        <f>AVERAGE(K20:K23)</f>
        <v>1805.75</v>
      </c>
      <c r="M23" s="18">
        <f>-J23+M22</f>
        <v>32582</v>
      </c>
    </row>
    <row r="24" ht="20.05" customHeight="1">
      <c r="B24" s="29">
        <v>2020</v>
      </c>
      <c r="C24" s="17">
        <v>11342</v>
      </c>
      <c r="D24" s="18"/>
      <c r="E24" s="18">
        <v>956</v>
      </c>
      <c r="F24" s="18">
        <v>-214</v>
      </c>
      <c r="G24" s="18">
        <v>-64</v>
      </c>
      <c r="H24" s="18"/>
      <c r="I24" s="18"/>
      <c r="J24" s="18">
        <v>-902</v>
      </c>
      <c r="K24" s="18">
        <f>E24+F24+G24</f>
        <v>678</v>
      </c>
      <c r="L24" s="18">
        <f>AVERAGE(K21:K24)</f>
        <v>1601.25</v>
      </c>
      <c r="M24" s="18">
        <f>-(J24-G24)+M23</f>
        <v>33420</v>
      </c>
    </row>
    <row r="25" ht="20.05" customHeight="1">
      <c r="B25" s="28"/>
      <c r="C25" s="17">
        <v>12419</v>
      </c>
      <c r="D25" s="18"/>
      <c r="E25" s="18">
        <v>3124</v>
      </c>
      <c r="F25" s="18">
        <v>-134</v>
      </c>
      <c r="G25" s="18">
        <v>-64</v>
      </c>
      <c r="H25" s="18"/>
      <c r="I25" s="18"/>
      <c r="J25" s="18">
        <v>-2147</v>
      </c>
      <c r="K25" s="18">
        <f>E25+F25+G25</f>
        <v>2926</v>
      </c>
      <c r="L25" s="18">
        <f>AVERAGE(K22:K25)</f>
        <v>1943.5</v>
      </c>
      <c r="M25" s="18">
        <f>-(J25-G25)+M24</f>
        <v>35503</v>
      </c>
    </row>
    <row r="26" ht="20.05" customHeight="1">
      <c r="B26" s="28"/>
      <c r="C26" s="17">
        <v>11384</v>
      </c>
      <c r="D26" s="18"/>
      <c r="E26" s="18">
        <v>1632.48</v>
      </c>
      <c r="F26" s="18">
        <v>-162</v>
      </c>
      <c r="G26" s="18">
        <v>-64</v>
      </c>
      <c r="H26" s="18"/>
      <c r="I26" s="18"/>
      <c r="J26" s="18">
        <v>-2117.72</v>
      </c>
      <c r="K26" s="18">
        <f>E26+F26+G26</f>
        <v>1406.48</v>
      </c>
      <c r="L26" s="18">
        <f>AVERAGE(K23:K26)</f>
        <v>1930.62</v>
      </c>
      <c r="M26" s="18">
        <f>-(J26-G26)+M25</f>
        <v>37556.72</v>
      </c>
    </row>
    <row r="27" ht="20.05" customHeight="1">
      <c r="B27" s="28"/>
      <c r="C27" s="17">
        <v>11992</v>
      </c>
      <c r="D27" s="18"/>
      <c r="E27" s="18">
        <v>2651.52</v>
      </c>
      <c r="F27" s="18">
        <v>-180</v>
      </c>
      <c r="G27" s="18">
        <v>-64</v>
      </c>
      <c r="H27" s="18"/>
      <c r="I27" s="18"/>
      <c r="J27" s="18">
        <v>-2292.28</v>
      </c>
      <c r="K27" s="18">
        <f>E27+F27+G27</f>
        <v>2407.52</v>
      </c>
      <c r="L27" s="18">
        <f>AVERAGE(K24:K27)</f>
        <v>1854.5</v>
      </c>
      <c r="M27" s="18">
        <f>-(J27-G27)+M26</f>
        <v>39785</v>
      </c>
    </row>
    <row r="28" ht="20.05" customHeight="1">
      <c r="B28" s="29">
        <v>2021</v>
      </c>
      <c r="C28" s="17">
        <v>10288</v>
      </c>
      <c r="D28" s="18">
        <v>-101</v>
      </c>
      <c r="E28" s="18">
        <f>599.9</f>
        <v>599.9</v>
      </c>
      <c r="F28" s="18">
        <v>-60.6</v>
      </c>
      <c r="G28" s="18">
        <v>-62.5</v>
      </c>
      <c r="H28" s="18"/>
      <c r="I28" s="18"/>
      <c r="J28" s="18">
        <f>-793.2</f>
        <v>-793.2</v>
      </c>
      <c r="K28" s="18">
        <f>E28+D28+G28</f>
        <v>436.4</v>
      </c>
      <c r="L28" s="18">
        <f>AVERAGE(K25:K28)</f>
        <v>1794.1</v>
      </c>
      <c r="M28" s="18">
        <f>-(J28-G28)+M27</f>
        <v>40515.7</v>
      </c>
    </row>
    <row r="29" ht="20.05" customHeight="1">
      <c r="B29" s="28"/>
      <c r="C29" s="17">
        <v>11652</v>
      </c>
      <c r="D29" s="18">
        <v>-101</v>
      </c>
      <c r="E29" s="18">
        <v>2502.1</v>
      </c>
      <c r="F29" s="18">
        <v>-243.4</v>
      </c>
      <c r="G29" s="18">
        <v>-62.5</v>
      </c>
      <c r="H29" s="18"/>
      <c r="I29" s="18"/>
      <c r="J29" s="18">
        <v>-2322.8</v>
      </c>
      <c r="K29" s="18">
        <f>E29+D29+G29</f>
        <v>2338.6</v>
      </c>
      <c r="L29" s="18">
        <f>AVERAGE(K26:K29)</f>
        <v>1647.25</v>
      </c>
      <c r="M29" s="18">
        <f>-(J29-G29)+M28</f>
        <v>42776</v>
      </c>
    </row>
    <row r="30" ht="20.05" customHeight="1">
      <c r="B30" s="28"/>
      <c r="C30" s="17">
        <f>32899.1-SUM(C28:C29)</f>
        <v>10959.1</v>
      </c>
      <c r="D30" s="18">
        <f>-526.7-SUM(D28:D29)</f>
        <v>-324.7</v>
      </c>
      <c r="E30" s="18">
        <f>5236.7-SUM(E28:E29)</f>
        <v>2134.7</v>
      </c>
      <c r="F30" s="18">
        <f>-415.1-SUM(F28:F29)</f>
        <v>-111.1</v>
      </c>
      <c r="G30" s="18">
        <f>-181.3-SUM(G28:G29)</f>
        <v>-56.3</v>
      </c>
      <c r="H30" s="18">
        <f>-1115-H29-H28</f>
        <v>-1115</v>
      </c>
      <c r="I30" s="18">
        <f>-3828-I29-I28</f>
        <v>-3828</v>
      </c>
      <c r="J30" s="18">
        <f>-5123.8-SUM(J28:J29)</f>
        <v>-2007.8</v>
      </c>
      <c r="K30" s="18">
        <f>E30+D30+G30</f>
        <v>1753.7</v>
      </c>
      <c r="L30" s="18">
        <f>AVERAGE(K27:K30)</f>
        <v>1734.055</v>
      </c>
      <c r="M30" s="18">
        <f>-(J30-G30)+M29</f>
        <v>44727.5</v>
      </c>
    </row>
    <row r="31" ht="20.05" customHeight="1">
      <c r="B31" s="28"/>
      <c r="C31" s="17">
        <f>44102-C30-C29-C28</f>
        <v>11202.9</v>
      </c>
      <c r="D31" s="18">
        <f>-919.8-SUM(D28:D30)</f>
        <v>-393.1</v>
      </c>
      <c r="E31" s="18">
        <f>7902-E30-E29-E28</f>
        <v>2665.3</v>
      </c>
      <c r="F31" s="18">
        <f>-681-F30-F29-F28</f>
        <v>-265.9</v>
      </c>
      <c r="G31" s="18">
        <f>-232-G30-G29-G28</f>
        <v>-50.7</v>
      </c>
      <c r="H31" s="18">
        <f>-1165-H30-H29-H28</f>
        <v>-50</v>
      </c>
      <c r="I31" s="18">
        <f>-6342-I30-I29-I28</f>
        <v>-2514</v>
      </c>
      <c r="J31" s="18">
        <f>-7740-J30-J29-J28</f>
        <v>-2616.2</v>
      </c>
      <c r="K31" s="18">
        <f>E31+D31+G31</f>
        <v>2221.5</v>
      </c>
      <c r="L31" s="18">
        <f>AVERAGE(K28:K31)</f>
        <v>1687.55</v>
      </c>
      <c r="M31" s="18">
        <f>-(J31-G31)+M30</f>
        <v>47293</v>
      </c>
    </row>
    <row r="32" ht="20.05" customHeight="1">
      <c r="B32" s="29">
        <v>2022</v>
      </c>
      <c r="C32" s="17"/>
      <c r="D32" s="18"/>
      <c r="E32" s="18"/>
      <c r="F32" s="18"/>
      <c r="G32" s="18"/>
      <c r="H32" s="18"/>
      <c r="I32" s="18"/>
      <c r="J32" s="18"/>
      <c r="K32" s="20"/>
      <c r="L32" s="18">
        <f>SUM('Model'!F9:F11)</f>
        <v>1739.1940687881</v>
      </c>
      <c r="M32" s="18">
        <f>'Model'!F33</f>
        <v>51562.5059996747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5625" style="36" customWidth="1"/>
    <col min="2" max="2" width="8.52344" style="36" customWidth="1"/>
    <col min="3" max="11" width="9.98438" style="36" customWidth="1"/>
    <col min="12" max="16384" width="16.3516" style="36" customWidth="1"/>
  </cols>
  <sheetData>
    <row r="1" ht="30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42</v>
      </c>
      <c r="C3" t="s" s="5">
        <v>50</v>
      </c>
      <c r="D3" t="s" s="5">
        <v>51</v>
      </c>
      <c r="E3" t="s" s="5">
        <v>52</v>
      </c>
      <c r="F3" t="s" s="5">
        <v>23</v>
      </c>
      <c r="G3" t="s" s="5">
        <v>12</v>
      </c>
      <c r="H3" t="s" s="5">
        <v>13</v>
      </c>
      <c r="I3" t="s" s="5">
        <v>25</v>
      </c>
      <c r="J3" t="s" s="5">
        <v>26</v>
      </c>
      <c r="K3" t="s" s="5">
        <v>34</v>
      </c>
    </row>
    <row r="4" ht="20.25" customHeight="1">
      <c r="B4" s="24">
        <v>2015</v>
      </c>
      <c r="C4" s="32">
        <v>463</v>
      </c>
      <c r="D4" s="33">
        <v>14773</v>
      </c>
      <c r="E4" s="33">
        <f>D4-C4</f>
        <v>14310</v>
      </c>
      <c r="F4" s="33">
        <f>2116+380</f>
        <v>2496</v>
      </c>
      <c r="G4" s="33">
        <v>8435</v>
      </c>
      <c r="H4" s="33">
        <v>6338</v>
      </c>
      <c r="I4" s="33">
        <f>G4+H4-C4-E4</f>
        <v>0</v>
      </c>
      <c r="J4" s="33">
        <f>C4-G4</f>
        <v>-7972</v>
      </c>
      <c r="K4" s="33"/>
    </row>
    <row r="5" ht="20.05" customHeight="1">
      <c r="B5" s="28"/>
      <c r="C5" s="17">
        <v>1472</v>
      </c>
      <c r="D5" s="18">
        <v>16486</v>
      </c>
      <c r="E5" s="18">
        <f>D5-C5</f>
        <v>15014</v>
      </c>
      <c r="F5" s="18">
        <f>2213+385</f>
        <v>2598</v>
      </c>
      <c r="G5" s="18">
        <v>11983</v>
      </c>
      <c r="H5" s="18">
        <v>4503</v>
      </c>
      <c r="I5" s="18">
        <f>G5+H5-C5-E5</f>
        <v>0</v>
      </c>
      <c r="J5" s="18">
        <f>C5-G5</f>
        <v>-10511</v>
      </c>
      <c r="K5" s="18"/>
    </row>
    <row r="6" ht="20.05" customHeight="1">
      <c r="B6" s="28"/>
      <c r="C6" s="17">
        <v>834</v>
      </c>
      <c r="D6" s="18">
        <v>15985</v>
      </c>
      <c r="E6" s="18">
        <f>D6-C6</f>
        <v>15151</v>
      </c>
      <c r="F6" s="18">
        <f>2321+390</f>
        <v>2711</v>
      </c>
      <c r="G6" s="18">
        <v>10229</v>
      </c>
      <c r="H6" s="18">
        <v>5756</v>
      </c>
      <c r="I6" s="18">
        <f>G6+H6-C6-E6</f>
        <v>0</v>
      </c>
      <c r="J6" s="18">
        <f>C6-G6</f>
        <v>-9395</v>
      </c>
      <c r="K6" s="18"/>
    </row>
    <row r="7" ht="20.05" customHeight="1">
      <c r="B7" s="28"/>
      <c r="C7" s="17">
        <v>628</v>
      </c>
      <c r="D7" s="18">
        <v>15730</v>
      </c>
      <c r="E7" s="18">
        <f>D7-C7</f>
        <v>15102</v>
      </c>
      <c r="F7" s="18">
        <f>2373+395</f>
        <v>2768</v>
      </c>
      <c r="G7" s="18">
        <v>10903</v>
      </c>
      <c r="H7" s="18">
        <v>4827</v>
      </c>
      <c r="I7" s="18">
        <f>G7+H7-C7-E7</f>
        <v>0</v>
      </c>
      <c r="J7" s="18">
        <f>C7-G7</f>
        <v>-10275</v>
      </c>
      <c r="K7" s="18"/>
    </row>
    <row r="8" ht="20.05" customHeight="1">
      <c r="B8" s="29">
        <v>2016</v>
      </c>
      <c r="C8" s="17">
        <v>678</v>
      </c>
      <c r="D8" s="18">
        <v>16653</v>
      </c>
      <c r="E8" s="18">
        <f>D8-C8</f>
        <v>15975</v>
      </c>
      <c r="F8" s="18">
        <f>2482+401</f>
        <v>2883</v>
      </c>
      <c r="G8" s="18">
        <v>10256</v>
      </c>
      <c r="H8" s="18">
        <v>6397</v>
      </c>
      <c r="I8" s="18">
        <f>G8+H8-C8-E8</f>
        <v>0</v>
      </c>
      <c r="J8" s="18">
        <f>C8-G8</f>
        <v>-9578</v>
      </c>
      <c r="K8" s="18"/>
    </row>
    <row r="9" ht="20.05" customHeight="1">
      <c r="B9" s="28"/>
      <c r="C9" s="17">
        <v>1822</v>
      </c>
      <c r="D9" s="18">
        <v>18920</v>
      </c>
      <c r="E9" s="18">
        <f>D9-C9</f>
        <v>17098</v>
      </c>
      <c r="F9" s="18">
        <f>2614+406</f>
        <v>3020</v>
      </c>
      <c r="G9" s="18">
        <v>14030</v>
      </c>
      <c r="H9" s="18">
        <v>4890</v>
      </c>
      <c r="I9" s="18">
        <f>G9+H9-C9-E9</f>
        <v>0</v>
      </c>
      <c r="J9" s="18">
        <f>C9-G9</f>
        <v>-12208</v>
      </c>
      <c r="K9" s="18"/>
    </row>
    <row r="10" ht="20.05" customHeight="1">
      <c r="B10" s="28"/>
      <c r="C10" s="17">
        <v>508</v>
      </c>
      <c r="D10" s="18">
        <v>16749</v>
      </c>
      <c r="E10" s="18">
        <f>D10-C10</f>
        <v>16241</v>
      </c>
      <c r="F10" s="18">
        <f>2741+411</f>
        <v>3152</v>
      </c>
      <c r="G10" s="18">
        <v>10406</v>
      </c>
      <c r="H10" s="18">
        <v>6343</v>
      </c>
      <c r="I10" s="18">
        <f>G10+H10-C10-E10</f>
        <v>0</v>
      </c>
      <c r="J10" s="18">
        <f>C10-G10</f>
        <v>-9898</v>
      </c>
      <c r="K10" s="18"/>
    </row>
    <row r="11" ht="20.05" customHeight="1">
      <c r="B11" s="28"/>
      <c r="C11" s="17">
        <v>374</v>
      </c>
      <c r="D11" s="18">
        <v>16746</v>
      </c>
      <c r="E11" s="18">
        <f>D11-C11</f>
        <v>16372</v>
      </c>
      <c r="F11" s="18">
        <f>2871+417</f>
        <v>3288</v>
      </c>
      <c r="G11" s="18">
        <v>12042</v>
      </c>
      <c r="H11" s="18">
        <v>4704</v>
      </c>
      <c r="I11" s="18">
        <f>G11+H11-C11-E11</f>
        <v>0</v>
      </c>
      <c r="J11" s="18">
        <f>C11-G11</f>
        <v>-11668</v>
      </c>
      <c r="K11" s="18"/>
    </row>
    <row r="12" ht="20.05" customHeight="1">
      <c r="B12" s="29">
        <v>2017</v>
      </c>
      <c r="C12" s="17">
        <v>577</v>
      </c>
      <c r="D12" s="18">
        <v>18586</v>
      </c>
      <c r="E12" s="18">
        <f>D12-C12</f>
        <v>18009</v>
      </c>
      <c r="F12" s="18">
        <f>2993+422</f>
        <v>3415</v>
      </c>
      <c r="G12" s="18">
        <v>11921</v>
      </c>
      <c r="H12" s="18">
        <v>6665</v>
      </c>
      <c r="I12" s="18">
        <f>G12+H12-C12-E12</f>
        <v>0</v>
      </c>
      <c r="J12" s="18">
        <f>C12-G12</f>
        <v>-11344</v>
      </c>
      <c r="K12" s="18"/>
    </row>
    <row r="13" ht="20.05" customHeight="1">
      <c r="B13" s="28"/>
      <c r="C13" s="17">
        <v>399</v>
      </c>
      <c r="D13" s="18">
        <v>19286</v>
      </c>
      <c r="E13" s="18">
        <f>D13-C13</f>
        <v>18887</v>
      </c>
      <c r="F13" s="18">
        <f>3160+427</f>
        <v>3587</v>
      </c>
      <c r="G13" s="18">
        <v>14380</v>
      </c>
      <c r="H13" s="18">
        <v>4906</v>
      </c>
      <c r="I13" s="18">
        <f>G13+H13-C13-E13</f>
        <v>0</v>
      </c>
      <c r="J13" s="18">
        <f>C13-G13</f>
        <v>-13981</v>
      </c>
      <c r="K13" s="18"/>
    </row>
    <row r="14" ht="20.05" customHeight="1">
      <c r="B14" s="28"/>
      <c r="C14" s="17">
        <v>420</v>
      </c>
      <c r="D14" s="18">
        <v>18815</v>
      </c>
      <c r="E14" s="18">
        <f>D14-C14</f>
        <v>18395</v>
      </c>
      <c r="F14" s="18">
        <f>3292+433</f>
        <v>3725</v>
      </c>
      <c r="G14" s="18">
        <v>12391</v>
      </c>
      <c r="H14" s="18">
        <v>6424</v>
      </c>
      <c r="I14" s="18">
        <f>G14+H14-C14-E14</f>
        <v>0</v>
      </c>
      <c r="J14" s="18">
        <f>C14-G14</f>
        <v>-11971</v>
      </c>
      <c r="K14" s="18"/>
    </row>
    <row r="15" ht="20.05" customHeight="1">
      <c r="B15" s="28"/>
      <c r="C15" s="17">
        <v>405</v>
      </c>
      <c r="D15" s="18">
        <v>19852</v>
      </c>
      <c r="E15" s="18">
        <f>D15-C15</f>
        <v>19447</v>
      </c>
      <c r="F15" s="18">
        <f>3367+438</f>
        <v>3805</v>
      </c>
      <c r="G15" s="18">
        <v>14845</v>
      </c>
      <c r="H15" s="18">
        <v>5007</v>
      </c>
      <c r="I15" s="18">
        <f>G15+H15-C15-E15</f>
        <v>0</v>
      </c>
      <c r="J15" s="18">
        <f>C15-G15</f>
        <v>-14440</v>
      </c>
      <c r="K15" s="18"/>
    </row>
    <row r="16" ht="20.05" customHeight="1">
      <c r="B16" s="29">
        <v>2018</v>
      </c>
      <c r="C16" s="17">
        <v>960</v>
      </c>
      <c r="D16" s="18">
        <v>20242</v>
      </c>
      <c r="E16" s="18">
        <f>D16-C16</f>
        <v>19282</v>
      </c>
      <c r="F16" s="18">
        <f>3423+443</f>
        <v>3866</v>
      </c>
      <c r="G16" s="18">
        <v>13230</v>
      </c>
      <c r="H16" s="18">
        <v>7012</v>
      </c>
      <c r="I16" s="18">
        <f>G16+H16-C16-E16</f>
        <v>0</v>
      </c>
      <c r="J16" s="18">
        <f>C16-G16</f>
        <v>-12270</v>
      </c>
      <c r="K16" s="18"/>
    </row>
    <row r="17" ht="20.05" customHeight="1">
      <c r="B17" s="28"/>
      <c r="C17" s="17">
        <v>666</v>
      </c>
      <c r="D17" s="18">
        <v>20526</v>
      </c>
      <c r="E17" s="18">
        <f>D17-C17</f>
        <v>19860</v>
      </c>
      <c r="F17" s="18">
        <f>3592+444</f>
        <v>4036</v>
      </c>
      <c r="G17" s="18">
        <v>15514</v>
      </c>
      <c r="H17" s="18">
        <v>5012</v>
      </c>
      <c r="I17" s="18">
        <f>G17+H17-C17-E17</f>
        <v>0</v>
      </c>
      <c r="J17" s="18">
        <f>C17-G17</f>
        <v>-14848</v>
      </c>
      <c r="K17" s="18"/>
    </row>
    <row r="18" ht="20.05" customHeight="1">
      <c r="B18" s="28"/>
      <c r="C18" s="17">
        <v>1075</v>
      </c>
      <c r="D18" s="18">
        <v>19998</v>
      </c>
      <c r="E18" s="18">
        <f>D18-C18</f>
        <v>18923</v>
      </c>
      <c r="F18" s="18">
        <f>3777+454</f>
        <v>4231</v>
      </c>
      <c r="G18" s="18">
        <v>11028</v>
      </c>
      <c r="H18" s="18">
        <v>8970</v>
      </c>
      <c r="I18" s="18">
        <f>G18+H18-C18-E18</f>
        <v>0</v>
      </c>
      <c r="J18" s="18">
        <f>C18-G18</f>
        <v>-9953</v>
      </c>
      <c r="K18" s="18"/>
    </row>
    <row r="19" ht="20.05" customHeight="1">
      <c r="B19" s="28"/>
      <c r="C19" s="17">
        <v>352</v>
      </c>
      <c r="D19" s="18">
        <v>20327</v>
      </c>
      <c r="E19" s="18">
        <f>D19-C19</f>
        <v>19975</v>
      </c>
      <c r="F19" s="18">
        <f>3945+461</f>
        <v>4406</v>
      </c>
      <c r="G19" s="18">
        <v>12946</v>
      </c>
      <c r="H19" s="18">
        <v>7381</v>
      </c>
      <c r="I19" s="18">
        <f>G19+H19-C19-E19</f>
        <v>0</v>
      </c>
      <c r="J19" s="18">
        <f>C19-G19</f>
        <v>-12594</v>
      </c>
      <c r="K19" s="18"/>
    </row>
    <row r="20" ht="20.05" customHeight="1">
      <c r="B20" s="29">
        <v>2019</v>
      </c>
      <c r="C20" s="17">
        <v>1359</v>
      </c>
      <c r="D20" s="18">
        <v>22040</v>
      </c>
      <c r="E20" s="18">
        <f>D20-C20</f>
        <v>20681</v>
      </c>
      <c r="F20" s="18">
        <f>4106+469</f>
        <v>4575</v>
      </c>
      <c r="G20" s="18">
        <v>12978</v>
      </c>
      <c r="H20" s="18">
        <v>9062</v>
      </c>
      <c r="I20" s="18">
        <f>G20+H20-C20-E20</f>
        <v>0</v>
      </c>
      <c r="J20" s="18">
        <f>C20-G20</f>
        <v>-11619</v>
      </c>
      <c r="K20" s="18"/>
    </row>
    <row r="21" ht="20.05" customHeight="1">
      <c r="B21" s="28"/>
      <c r="C21" s="17">
        <v>639</v>
      </c>
      <c r="D21" s="18">
        <v>21827</v>
      </c>
      <c r="E21" s="18">
        <f>D21-C21</f>
        <v>21188</v>
      </c>
      <c r="F21" s="18">
        <f>4242+477</f>
        <v>4719</v>
      </c>
      <c r="G21" s="18">
        <v>16752</v>
      </c>
      <c r="H21" s="18">
        <v>5075</v>
      </c>
      <c r="I21" s="18">
        <f>G21+H21-C21-E21</f>
        <v>0</v>
      </c>
      <c r="J21" s="18">
        <f>C21-G21</f>
        <v>-16113</v>
      </c>
      <c r="K21" s="18"/>
    </row>
    <row r="22" ht="20.05" customHeight="1">
      <c r="B22" s="28"/>
      <c r="C22" s="17">
        <v>524</v>
      </c>
      <c r="D22" s="18">
        <v>20814</v>
      </c>
      <c r="E22" s="18">
        <f>D22-C22</f>
        <v>20290</v>
      </c>
      <c r="F22" s="18">
        <f>4373+484</f>
        <v>4857</v>
      </c>
      <c r="G22" s="18">
        <v>13926</v>
      </c>
      <c r="H22" s="18">
        <v>6888</v>
      </c>
      <c r="I22" s="18">
        <f>G22+H22-C22-E22</f>
        <v>0</v>
      </c>
      <c r="J22" s="18">
        <f>C22-G22</f>
        <v>-13402</v>
      </c>
      <c r="K22" s="18"/>
    </row>
    <row r="23" ht="20.05" customHeight="1">
      <c r="B23" s="28"/>
      <c r="C23" s="17">
        <v>629</v>
      </c>
      <c r="D23" s="18">
        <v>20649</v>
      </c>
      <c r="E23" s="18">
        <f>D23-C23</f>
        <v>20020</v>
      </c>
      <c r="F23" s="18">
        <f>4571+492</f>
        <v>5063</v>
      </c>
      <c r="G23" s="18">
        <v>15367</v>
      </c>
      <c r="H23" s="18">
        <v>5282</v>
      </c>
      <c r="I23" s="18">
        <f>G23+H23-C23-E23</f>
        <v>0</v>
      </c>
      <c r="J23" s="18">
        <f>C23-G23</f>
        <v>-14738</v>
      </c>
      <c r="K23" s="18"/>
    </row>
    <row r="24" ht="20.05" customHeight="1">
      <c r="B24" s="29">
        <v>2020</v>
      </c>
      <c r="C24" s="17">
        <v>492</v>
      </c>
      <c r="D24" s="18">
        <v>21544</v>
      </c>
      <c r="E24" s="18">
        <f>D24-C24</f>
        <v>21052</v>
      </c>
      <c r="F24" s="18">
        <v>4789</v>
      </c>
      <c r="G24" s="18">
        <v>14324</v>
      </c>
      <c r="H24" s="18">
        <v>7219.2</v>
      </c>
      <c r="I24" s="18">
        <f>G24+H24-C24-E24</f>
        <v>-0.8</v>
      </c>
      <c r="J24" s="18">
        <f>C24-G24</f>
        <v>-13832</v>
      </c>
      <c r="K24" s="18"/>
    </row>
    <row r="25" ht="20.05" customHeight="1">
      <c r="B25" s="28"/>
      <c r="C25" s="17">
        <v>1311</v>
      </c>
      <c r="D25" s="18">
        <v>21352</v>
      </c>
      <c r="E25" s="18">
        <f>D25-C25</f>
        <v>20041</v>
      </c>
      <c r="F25" s="18">
        <f>507+4964</f>
        <v>5471</v>
      </c>
      <c r="G25" s="18">
        <v>12544</v>
      </c>
      <c r="H25" s="18">
        <v>8808</v>
      </c>
      <c r="I25" s="18">
        <f>G25+H25-C25-E25</f>
        <v>0</v>
      </c>
      <c r="J25" s="18">
        <f>C25-G25</f>
        <v>-11233</v>
      </c>
      <c r="K25" s="18"/>
    </row>
    <row r="26" ht="20.05" customHeight="1">
      <c r="B26" s="28"/>
      <c r="C26" s="17">
        <v>665</v>
      </c>
      <c r="D26" s="18">
        <v>21079</v>
      </c>
      <c r="E26" s="18">
        <f>D26-C26</f>
        <v>20414</v>
      </c>
      <c r="F26" s="18">
        <f>518+5061</f>
        <v>5579</v>
      </c>
      <c r="G26" s="18">
        <v>14593</v>
      </c>
      <c r="H26" s="18">
        <v>6486</v>
      </c>
      <c r="I26" s="18">
        <f>G26+H26-C26-E26</f>
        <v>0</v>
      </c>
      <c r="J26" s="18">
        <f>C26-G26</f>
        <v>-13928</v>
      </c>
      <c r="K26" s="18"/>
    </row>
    <row r="27" ht="20.05" customHeight="1">
      <c r="B27" s="28"/>
      <c r="C27" s="17">
        <v>844</v>
      </c>
      <c r="D27" s="18">
        <v>20535</v>
      </c>
      <c r="E27" s="18">
        <f>D27-C27</f>
        <v>19691</v>
      </c>
      <c r="F27" s="18">
        <f>F26+'Sales'!E27</f>
        <v>5904</v>
      </c>
      <c r="G27" s="18">
        <v>15597</v>
      </c>
      <c r="H27" s="18">
        <v>4937</v>
      </c>
      <c r="I27" s="18">
        <f>G27+H27-C27-E27</f>
        <v>-1</v>
      </c>
      <c r="J27" s="18">
        <f>C27-G27</f>
        <v>-14753</v>
      </c>
      <c r="K27" s="18"/>
    </row>
    <row r="28" ht="20.05" customHeight="1">
      <c r="B28" s="29">
        <v>2021</v>
      </c>
      <c r="C28" s="17">
        <v>590</v>
      </c>
      <c r="D28" s="18">
        <v>21646</v>
      </c>
      <c r="E28" s="18">
        <f>D28-C28</f>
        <v>21056</v>
      </c>
      <c r="F28" s="18">
        <f>5452+529</f>
        <v>5981</v>
      </c>
      <c r="G28" s="18">
        <v>15085</v>
      </c>
      <c r="H28" s="18">
        <v>6561</v>
      </c>
      <c r="I28" s="18">
        <f>G28+H28-C28-E28</f>
        <v>0</v>
      </c>
      <c r="J28" s="18">
        <f>C28-G28</f>
        <v>-14495</v>
      </c>
      <c r="K28" s="18"/>
    </row>
    <row r="29" ht="20.05" customHeight="1">
      <c r="B29" s="28"/>
      <c r="C29" s="17">
        <v>526</v>
      </c>
      <c r="D29" s="18">
        <v>20274</v>
      </c>
      <c r="E29" s="18">
        <f>D29-C29</f>
        <v>19748</v>
      </c>
      <c r="F29" s="18">
        <f>F28+'Sales'!E29</f>
        <v>6239.5</v>
      </c>
      <c r="G29" s="18">
        <v>16260</v>
      </c>
      <c r="H29" s="18">
        <v>4014</v>
      </c>
      <c r="I29" s="18">
        <f>G29+H29-C29-E29</f>
        <v>0</v>
      </c>
      <c r="J29" s="18">
        <f>C29-G29</f>
        <v>-15734</v>
      </c>
      <c r="K29" s="18"/>
    </row>
    <row r="30" ht="20.05" customHeight="1">
      <c r="B30" s="28"/>
      <c r="C30" s="17">
        <v>542</v>
      </c>
      <c r="D30" s="18">
        <v>20207</v>
      </c>
      <c r="E30" s="18">
        <f>D30-C30</f>
        <v>19665</v>
      </c>
      <c r="F30" s="18">
        <f>5831+552+157</f>
        <v>6540</v>
      </c>
      <c r="G30" s="18">
        <v>14881</v>
      </c>
      <c r="H30" s="18">
        <v>5326</v>
      </c>
      <c r="I30" s="18">
        <f>G30+H30-C30-E30</f>
        <v>0</v>
      </c>
      <c r="J30" s="18">
        <f>C30-G30</f>
        <v>-14339</v>
      </c>
      <c r="K30" s="18"/>
    </row>
    <row r="31" ht="20.05" customHeight="1">
      <c r="B31" s="28"/>
      <c r="C31" s="17">
        <v>325</v>
      </c>
      <c r="D31" s="18">
        <v>19069</v>
      </c>
      <c r="E31" s="18">
        <f>D31-C31</f>
        <v>18744</v>
      </c>
      <c r="F31" s="18">
        <f>564+6013</f>
        <v>6577</v>
      </c>
      <c r="G31" s="18">
        <v>14747</v>
      </c>
      <c r="H31" s="18">
        <f>D31-G31</f>
        <v>4322</v>
      </c>
      <c r="I31" s="18">
        <f>G31+H31-C31-E31</f>
        <v>0</v>
      </c>
      <c r="J31" s="18">
        <f>C31-G31</f>
        <v>-14422</v>
      </c>
      <c r="K31" s="18">
        <f>J31</f>
        <v>-14422</v>
      </c>
    </row>
    <row r="32" ht="20.05" customHeight="1">
      <c r="B32" s="28"/>
      <c r="C32" s="17"/>
      <c r="D32" s="18"/>
      <c r="E32" s="18"/>
      <c r="F32" s="18"/>
      <c r="G32" s="18"/>
      <c r="H32" s="18"/>
      <c r="I32" s="18"/>
      <c r="J32" s="18"/>
      <c r="K32" s="18">
        <f>'Model'!F31</f>
        <v>-14082.4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7.0312" style="37" customWidth="1"/>
    <col min="2" max="2" width="5.26562" style="37" customWidth="1"/>
    <col min="3" max="3" width="11.0547" style="37" customWidth="1"/>
    <col min="4" max="5" width="9.55469" style="37" customWidth="1"/>
    <col min="6" max="16384" width="16.3516" style="37" customWidth="1"/>
  </cols>
  <sheetData>
    <row r="1" ht="11.05" customHeight="1"/>
    <row r="2" ht="27.65" customHeight="1">
      <c r="B2" t="s" s="2">
        <v>53</v>
      </c>
      <c r="C2" s="2"/>
      <c r="D2" s="2"/>
      <c r="E2" s="2"/>
    </row>
    <row r="3" ht="20.25" customHeight="1">
      <c r="B3" t="s" s="38">
        <v>54</v>
      </c>
      <c r="C3" t="s" s="38">
        <v>55</v>
      </c>
      <c r="D3" t="s" s="38">
        <v>56</v>
      </c>
      <c r="E3" t="s" s="38">
        <v>57</v>
      </c>
    </row>
    <row r="4" ht="20.25" customHeight="1">
      <c r="B4" s="24">
        <v>2018</v>
      </c>
      <c r="C4" s="39">
        <v>9905</v>
      </c>
      <c r="D4" s="8"/>
      <c r="E4" s="8"/>
    </row>
    <row r="5" ht="20.05" customHeight="1">
      <c r="B5" s="28"/>
      <c r="C5" s="40">
        <v>9220</v>
      </c>
      <c r="D5" s="20"/>
      <c r="E5" s="20"/>
    </row>
    <row r="6" ht="20.05" customHeight="1">
      <c r="B6" s="28"/>
      <c r="C6" s="40">
        <v>9405</v>
      </c>
      <c r="D6" s="20"/>
      <c r="E6" s="20"/>
    </row>
    <row r="7" ht="20.05" customHeight="1">
      <c r="B7" s="28"/>
      <c r="C7" s="40">
        <v>9080</v>
      </c>
      <c r="D7" s="20"/>
      <c r="E7" s="20"/>
    </row>
    <row r="8" ht="20.05" customHeight="1">
      <c r="B8" s="29">
        <v>2019</v>
      </c>
      <c r="C8" s="40">
        <v>9845</v>
      </c>
      <c r="D8" s="20"/>
      <c r="E8" s="20"/>
    </row>
    <row r="9" ht="20.05" customHeight="1">
      <c r="B9" s="28"/>
      <c r="C9" s="40">
        <v>9000</v>
      </c>
      <c r="D9" s="20"/>
      <c r="E9" s="20"/>
    </row>
    <row r="10" ht="20.05" customHeight="1">
      <c r="B10" s="28"/>
      <c r="C10" s="40">
        <v>9300</v>
      </c>
      <c r="D10" s="20"/>
      <c r="E10" s="20"/>
    </row>
    <row r="11" ht="20.05" customHeight="1">
      <c r="B11" s="28"/>
      <c r="C11" s="40">
        <v>8400</v>
      </c>
      <c r="D11" s="20"/>
      <c r="E11" s="20"/>
    </row>
    <row r="12" ht="20.05" customHeight="1">
      <c r="B12" s="29">
        <v>2020</v>
      </c>
      <c r="C12" s="40">
        <v>7250</v>
      </c>
      <c r="D12" s="20"/>
      <c r="E12" s="20"/>
    </row>
    <row r="13" ht="20.05" customHeight="1">
      <c r="B13" s="28"/>
      <c r="C13" s="40">
        <v>7900</v>
      </c>
      <c r="D13" s="20"/>
      <c r="E13" s="20"/>
    </row>
    <row r="14" ht="20.05" customHeight="1">
      <c r="B14" s="28"/>
      <c r="C14" s="40">
        <v>8100</v>
      </c>
      <c r="D14" s="20"/>
      <c r="E14" s="18">
        <v>12200.6048387097</v>
      </c>
    </row>
    <row r="15" ht="20.05" customHeight="1">
      <c r="B15" s="28"/>
      <c r="C15" s="17">
        <v>7638</v>
      </c>
      <c r="D15" s="20"/>
      <c r="E15" s="18">
        <v>12451.1529737903</v>
      </c>
    </row>
    <row r="16" ht="20.05" customHeight="1">
      <c r="B16" s="29">
        <v>2021</v>
      </c>
      <c r="C16" s="17">
        <v>6458.11084</v>
      </c>
      <c r="D16" s="20"/>
      <c r="E16" s="18">
        <v>10682.7763535641</v>
      </c>
    </row>
    <row r="17" ht="20.05" customHeight="1">
      <c r="B17" s="28"/>
      <c r="C17" s="17">
        <v>4950</v>
      </c>
      <c r="D17" s="20"/>
      <c r="E17" s="18">
        <v>10682.7763535641</v>
      </c>
    </row>
    <row r="18" ht="20.05" customHeight="1">
      <c r="B18" s="28"/>
      <c r="C18" s="17">
        <v>3950</v>
      </c>
      <c r="D18" s="20"/>
      <c r="E18" s="18">
        <v>10271</v>
      </c>
    </row>
    <row r="19" ht="20.05" customHeight="1">
      <c r="B19" s="28"/>
      <c r="C19" s="17">
        <v>4230</v>
      </c>
      <c r="D19" s="20"/>
      <c r="E19" s="18">
        <v>10271</v>
      </c>
    </row>
    <row r="20" ht="20.05" customHeight="1">
      <c r="B20" s="29">
        <v>2022</v>
      </c>
      <c r="C20" s="17">
        <v>3980</v>
      </c>
      <c r="D20" s="18">
        <f>C20</f>
        <v>3980</v>
      </c>
      <c r="E20" s="18">
        <v>8602.750583234430</v>
      </c>
    </row>
    <row r="21" ht="20.05" customHeight="1">
      <c r="B21" s="28"/>
      <c r="C21" s="17"/>
      <c r="D21" s="18">
        <f>'Model'!F43</f>
        <v>6242.05532739</v>
      </c>
      <c r="E21" s="2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3.0625" style="41" customWidth="1"/>
    <col min="2" max="8" width="11.4297" style="41" customWidth="1"/>
    <col min="9" max="16384" width="16.3516" style="41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</row>
    <row r="2" ht="20.25" customHeight="1">
      <c r="A2" s="42"/>
      <c r="B2" t="s" s="5">
        <v>12</v>
      </c>
      <c r="C2" t="s" s="5">
        <v>13</v>
      </c>
      <c r="D2" t="s" s="5">
        <v>59</v>
      </c>
      <c r="E2" t="s" s="5">
        <v>12</v>
      </c>
      <c r="F2" t="s" s="5">
        <v>13</v>
      </c>
      <c r="G2" t="s" s="5">
        <v>60</v>
      </c>
      <c r="H2" t="s" s="5">
        <v>61</v>
      </c>
    </row>
    <row r="3" ht="20.25" customHeight="1">
      <c r="A3" s="24">
        <v>2002</v>
      </c>
      <c r="B3" s="32"/>
      <c r="C3" s="33">
        <f>-685.7+24</f>
        <v>-661.7</v>
      </c>
      <c r="D3" s="33">
        <f>B3+C3</f>
        <v>-661.7</v>
      </c>
      <c r="E3" s="33">
        <f>B3</f>
        <v>0</v>
      </c>
      <c r="F3" s="33">
        <f>C3</f>
        <v>-661.7</v>
      </c>
      <c r="G3" s="33">
        <f>D3</f>
        <v>-661.7</v>
      </c>
      <c r="H3" s="33"/>
    </row>
    <row r="4" ht="20.05" customHeight="1">
      <c r="A4" s="29">
        <v>2003</v>
      </c>
      <c r="B4" s="17"/>
      <c r="C4" s="18">
        <v>-1230</v>
      </c>
      <c r="D4" s="18">
        <f>B4+C4</f>
        <v>-1230</v>
      </c>
      <c r="E4" s="18">
        <f>B4+E3</f>
        <v>0</v>
      </c>
      <c r="F4" s="18">
        <f>C4+F3</f>
        <v>-1891.7</v>
      </c>
      <c r="G4" s="18">
        <f>D4+G3</f>
        <v>-1891.7</v>
      </c>
      <c r="H4" s="18">
        <v>88</v>
      </c>
    </row>
    <row r="5" ht="20.05" customHeight="1">
      <c r="A5" s="29">
        <v>2004</v>
      </c>
      <c r="B5" s="17"/>
      <c r="C5" s="18">
        <f>-1527+12.2</f>
        <v>-1514.8</v>
      </c>
      <c r="D5" s="18">
        <f>B5+C5</f>
        <v>-1514.8</v>
      </c>
      <c r="E5" s="18">
        <f>B5+E4</f>
        <v>0</v>
      </c>
      <c r="F5" s="18">
        <f>C5+F4</f>
        <v>-3406.5</v>
      </c>
      <c r="G5" s="18">
        <f>D5+G4</f>
        <v>-3406.5</v>
      </c>
      <c r="H5" s="18">
        <v>98</v>
      </c>
    </row>
    <row r="6" ht="20.05" customHeight="1">
      <c r="A6" s="29">
        <v>2005</v>
      </c>
      <c r="B6" s="17"/>
      <c r="C6" s="18">
        <v>-1529.85</v>
      </c>
      <c r="D6" s="18">
        <f>B6+C6</f>
        <v>-1529.85</v>
      </c>
      <c r="E6" s="18">
        <f>B6+E5</f>
        <v>0</v>
      </c>
      <c r="F6" s="18">
        <f>C6+F5</f>
        <v>-4936.35</v>
      </c>
      <c r="G6" s="18">
        <f>D6+G5</f>
        <v>-4936.35</v>
      </c>
      <c r="H6" s="18">
        <v>85</v>
      </c>
    </row>
    <row r="7" ht="20.05" customHeight="1">
      <c r="A7" s="29">
        <v>2006</v>
      </c>
      <c r="B7" s="17"/>
      <c r="C7" s="18">
        <v>-1523</v>
      </c>
      <c r="D7" s="18">
        <f>B7+C7</f>
        <v>-1523</v>
      </c>
      <c r="E7" s="18">
        <f>B7+E6</f>
        <v>0</v>
      </c>
      <c r="F7" s="18">
        <f>C7+F6</f>
        <v>-6459.35</v>
      </c>
      <c r="G7" s="18">
        <f>D7+G6</f>
        <v>-6459.35</v>
      </c>
      <c r="H7" s="18">
        <v>85</v>
      </c>
    </row>
    <row r="8" ht="20.05" customHeight="1">
      <c r="A8" s="29">
        <v>2007</v>
      </c>
      <c r="B8" s="17"/>
      <c r="C8" s="18">
        <f>-1636.56-1.225</f>
        <v>-1637.785</v>
      </c>
      <c r="D8" s="18">
        <f>B8+C8</f>
        <v>-1637.785</v>
      </c>
      <c r="E8" s="18">
        <f>B8+E7</f>
        <v>0</v>
      </c>
      <c r="F8" s="18">
        <f>C8+F7</f>
        <v>-8097.135</v>
      </c>
      <c r="G8" s="18">
        <f>D8+G7</f>
        <v>-8097.135</v>
      </c>
      <c r="H8" s="18">
        <v>72</v>
      </c>
    </row>
    <row r="9" ht="20.05" customHeight="1">
      <c r="A9" s="29">
        <v>2008</v>
      </c>
      <c r="B9" s="17"/>
      <c r="C9" s="18">
        <v>-1995.516</v>
      </c>
      <c r="D9" s="18">
        <f>B9+C9</f>
        <v>-1995.516</v>
      </c>
      <c r="E9" s="18">
        <f>B9+E8</f>
        <v>0</v>
      </c>
      <c r="F9" s="18">
        <f>C9+F8</f>
        <v>-10092.651</v>
      </c>
      <c r="G9" s="18">
        <f>D9+G8</f>
        <v>-10092.651</v>
      </c>
      <c r="H9" s="18">
        <v>156</v>
      </c>
    </row>
    <row r="10" ht="20.05" customHeight="1">
      <c r="A10" s="29">
        <v>2009</v>
      </c>
      <c r="B10" s="17"/>
      <c r="C10" s="18">
        <v>-2436</v>
      </c>
      <c r="D10" s="18">
        <f>B10+C10</f>
        <v>-2436</v>
      </c>
      <c r="E10" s="18">
        <f>B10+E9</f>
        <v>0</v>
      </c>
      <c r="F10" s="18">
        <f>C10+F9</f>
        <v>-12528.651</v>
      </c>
      <c r="G10" s="18">
        <f>D10+G9</f>
        <v>-12528.651</v>
      </c>
      <c r="H10" s="18">
        <v>178</v>
      </c>
    </row>
    <row r="11" ht="20.05" customHeight="1">
      <c r="A11" s="29">
        <v>2010</v>
      </c>
      <c r="B11" s="17"/>
      <c r="C11" s="18">
        <f>190-3037.46</f>
        <v>-2847.46</v>
      </c>
      <c r="D11" s="18">
        <f>B11+C11</f>
        <v>-2847.46</v>
      </c>
      <c r="E11" s="18">
        <f>B11+E10</f>
        <v>0</v>
      </c>
      <c r="F11" s="18">
        <f>C11+F10</f>
        <v>-15376.111</v>
      </c>
      <c r="G11" s="18">
        <f>D11+G10</f>
        <v>-15376.111</v>
      </c>
      <c r="H11" s="18">
        <v>219</v>
      </c>
    </row>
    <row r="12" ht="20.05" customHeight="1">
      <c r="A12" s="29">
        <v>2011</v>
      </c>
      <c r="B12" s="17">
        <f>699.16-190</f>
        <v>509.16</v>
      </c>
      <c r="C12" s="18">
        <v>-4519.907</v>
      </c>
      <c r="D12" s="18">
        <f>B12+C12</f>
        <v>-4010.747</v>
      </c>
      <c r="E12" s="18">
        <f>B12+E11</f>
        <v>509.16</v>
      </c>
      <c r="F12" s="18">
        <f>C12+F11</f>
        <v>-19896.018</v>
      </c>
      <c r="G12" s="18">
        <f>D12+G11</f>
        <v>-19386.858</v>
      </c>
      <c r="H12" s="18">
        <v>236</v>
      </c>
    </row>
    <row r="13" ht="20.05" customHeight="1">
      <c r="A13" s="29">
        <v>2012</v>
      </c>
      <c r="B13" s="17">
        <f>1040-699.16</f>
        <v>340.84</v>
      </c>
      <c r="C13" s="18">
        <v>-4537.777</v>
      </c>
      <c r="D13" s="18">
        <f>B13+C13</f>
        <v>-4196.937</v>
      </c>
      <c r="E13" s="18">
        <f>B13+E12</f>
        <v>850</v>
      </c>
      <c r="F13" s="18">
        <f>C13+F12</f>
        <v>-24433.795</v>
      </c>
      <c r="G13" s="18">
        <f>D13+G12</f>
        <v>-23583.795</v>
      </c>
      <c r="H13" s="18">
        <v>224</v>
      </c>
    </row>
    <row r="14" ht="20.05" customHeight="1">
      <c r="A14" s="29">
        <v>2013</v>
      </c>
      <c r="B14" s="17">
        <f>976.792-1040</f>
        <v>-63.208</v>
      </c>
      <c r="C14" s="18">
        <v>-5058.527</v>
      </c>
      <c r="D14" s="18">
        <f>B14+C14</f>
        <v>-5121.735</v>
      </c>
      <c r="E14" s="18">
        <f>B14+E13</f>
        <v>786.792</v>
      </c>
      <c r="F14" s="18">
        <f>C14+F13</f>
        <v>-29492.322</v>
      </c>
      <c r="G14" s="18">
        <f>D14+G13</f>
        <v>-28705.53</v>
      </c>
      <c r="H14" s="18">
        <v>265</v>
      </c>
    </row>
    <row r="15" ht="20.05" customHeight="1">
      <c r="A15" s="29">
        <v>2014</v>
      </c>
      <c r="B15" s="17">
        <f>1250-979.792</f>
        <v>270.208</v>
      </c>
      <c r="C15" s="18">
        <v>-5126.717</v>
      </c>
      <c r="D15" s="18">
        <f>B15+C15</f>
        <v>-4856.509</v>
      </c>
      <c r="E15" s="18">
        <f>B15+E14</f>
        <v>1057</v>
      </c>
      <c r="F15" s="18">
        <f>C15+F14</f>
        <v>-34619.039</v>
      </c>
      <c r="G15" s="18">
        <f>D15+G14</f>
        <v>-33562.039</v>
      </c>
      <c r="H15" s="18">
        <v>377</v>
      </c>
    </row>
    <row r="16" ht="20.05" customHeight="1">
      <c r="A16" s="29">
        <v>2015</v>
      </c>
      <c r="B16" s="17">
        <v>450</v>
      </c>
      <c r="C16" s="18">
        <v>-5592.332</v>
      </c>
      <c r="D16" s="18">
        <f>B16+C16</f>
        <v>-5142.332</v>
      </c>
      <c r="E16" s="18">
        <f>B16+E15</f>
        <v>1507</v>
      </c>
      <c r="F16" s="18">
        <f>C16+F15</f>
        <v>-40211.371</v>
      </c>
      <c r="G16" s="18">
        <f>D16+G15</f>
        <v>-38704.371</v>
      </c>
      <c r="H16" s="18">
        <v>375</v>
      </c>
    </row>
    <row r="17" ht="20.05" customHeight="1">
      <c r="A17" s="29">
        <v>2016</v>
      </c>
      <c r="B17" s="17">
        <v>692.97</v>
      </c>
      <c r="C17" s="18">
        <v>-5843.184</v>
      </c>
      <c r="D17" s="18">
        <f>B17+C17</f>
        <v>-5150.214</v>
      </c>
      <c r="E17" s="18">
        <f>B17+E16</f>
        <v>2199.97</v>
      </c>
      <c r="F17" s="18">
        <f>C17+F16</f>
        <v>-46054.555</v>
      </c>
      <c r="G17" s="18">
        <f>D17+G16</f>
        <v>-43854.585</v>
      </c>
      <c r="H17" s="18">
        <v>348</v>
      </c>
    </row>
    <row r="18" ht="20.05" customHeight="1">
      <c r="A18" s="29">
        <v>2017</v>
      </c>
      <c r="B18" s="17">
        <v>1057</v>
      </c>
      <c r="C18" s="18">
        <v>-6494.045</v>
      </c>
      <c r="D18" s="18">
        <f>B18+C18</f>
        <v>-5437.045</v>
      </c>
      <c r="E18" s="18">
        <f>B18+E17</f>
        <v>3256.97</v>
      </c>
      <c r="F18" s="18">
        <f>C18+F17</f>
        <v>-52548.6</v>
      </c>
      <c r="G18" s="18">
        <f>D18+G17</f>
        <v>-49291.63</v>
      </c>
      <c r="H18" s="18">
        <v>380</v>
      </c>
    </row>
    <row r="19" ht="20.05" customHeight="1">
      <c r="A19" s="29">
        <v>2018</v>
      </c>
      <c r="B19" s="17">
        <v>-2990</v>
      </c>
      <c r="C19" s="18">
        <v>-6926.201</v>
      </c>
      <c r="D19" s="18">
        <f>B19+C19</f>
        <v>-9916.200999999999</v>
      </c>
      <c r="E19" s="18">
        <f>B19+E18</f>
        <v>266.97</v>
      </c>
      <c r="F19" s="18">
        <f>C19+F18</f>
        <v>-59474.801</v>
      </c>
      <c r="G19" s="18">
        <f>D19+G18</f>
        <v>-59207.831</v>
      </c>
      <c r="H19" s="18">
        <v>394</v>
      </c>
    </row>
    <row r="20" ht="20.05" customHeight="1">
      <c r="A20" s="29">
        <v>2019</v>
      </c>
      <c r="B20" s="17">
        <v>2460</v>
      </c>
      <c r="C20" s="18">
        <v>-9176.416999999999</v>
      </c>
      <c r="D20" s="18">
        <f>B20+C20</f>
        <v>-6716.417</v>
      </c>
      <c r="E20" s="18">
        <f>B20+E19</f>
        <v>2726.97</v>
      </c>
      <c r="F20" s="18">
        <f>C20+F19</f>
        <v>-68651.217999999993</v>
      </c>
      <c r="G20" s="18">
        <f>D20+G19</f>
        <v>-65924.248000000007</v>
      </c>
      <c r="H20" s="18">
        <v>406</v>
      </c>
    </row>
    <row r="21" ht="20.05" customHeight="1">
      <c r="A21" s="29">
        <v>2020</v>
      </c>
      <c r="B21" s="17">
        <v>95</v>
      </c>
      <c r="C21" s="18">
        <v>-7371.069</v>
      </c>
      <c r="D21" s="18">
        <f>B21+C21</f>
        <v>-7276.069</v>
      </c>
      <c r="E21" s="18">
        <f>B21+E20</f>
        <v>2821.97</v>
      </c>
      <c r="F21" s="18">
        <f>C21+F20</f>
        <v>-76022.287</v>
      </c>
      <c r="G21" s="18">
        <f>D21+G20</f>
        <v>-73200.317</v>
      </c>
      <c r="H21" s="18">
        <v>382</v>
      </c>
    </row>
    <row r="22" ht="20.05" customHeight="1">
      <c r="A22" s="29">
        <v>2021</v>
      </c>
      <c r="B22" s="17">
        <v>-1115</v>
      </c>
      <c r="C22" s="18">
        <v>-3827.458</v>
      </c>
      <c r="D22" s="18">
        <f>B22+C22</f>
        <v>-4942.458</v>
      </c>
      <c r="E22" s="18">
        <f>B22+E21</f>
        <v>1706.97</v>
      </c>
      <c r="F22" s="18">
        <f>C22+F21</f>
        <v>-79849.745</v>
      </c>
      <c r="G22" s="18">
        <f>D22+G21</f>
        <v>-78142.774999999994</v>
      </c>
      <c r="H22" s="18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