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  <sheet name="Capital" sheetId="6" r:id="rId9"/>
  </sheets>
</workbook>
</file>

<file path=xl/sharedStrings.xml><?xml version="1.0" encoding="utf-8"?>
<sst xmlns="http://schemas.openxmlformats.org/spreadsheetml/2006/main" uniqueCount="62">
  <si>
    <t>Financial model</t>
  </si>
  <si>
    <t>Rpbn</t>
  </si>
  <si>
    <t>4Q 2022</t>
  </si>
  <si>
    <t>Cashflow</t>
  </si>
  <si>
    <t>Growth</t>
  </si>
  <si>
    <t>Sales</t>
  </si>
  <si>
    <t>Cost ratio</t>
  </si>
  <si>
    <t>Cash costs</t>
  </si>
  <si>
    <t>Operating</t>
  </si>
  <si>
    <t>Investment</t>
  </si>
  <si>
    <t>Leases</t>
  </si>
  <si>
    <t>Finance</t>
  </si>
  <si>
    <t xml:space="preserve">Liabilities 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</si>
  <si>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</si>
  <si>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</si>
  <si>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</si>
  <si>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</si>
  <si>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</si>
  <si>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</si>
  <si>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</si>
  <si>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>Non cash costs</t>
  </si>
  <si>
    <t xml:space="preserve">Net profit </t>
  </si>
  <si>
    <t>Balance sheet</t>
  </si>
  <si>
    <t>Other assets</t>
  </si>
  <si>
    <t xml:space="preserve">Depreciation </t>
  </si>
  <si>
    <t xml:space="preserve">Net other assets </t>
  </si>
  <si>
    <t xml:space="preserve">Equity </t>
  </si>
  <si>
    <t xml:space="preserve">Check </t>
  </si>
  <si>
    <t>Net cash</t>
  </si>
  <si>
    <t xml:space="preserve">Valuation </t>
  </si>
  <si>
    <t xml:space="preserve">Capital </t>
  </si>
  <si>
    <t xml:space="preserve">Current value </t>
  </si>
  <si>
    <t>P/assets</t>
  </si>
  <si>
    <t xml:space="preserve">Yield 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</si>
  <si>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</si>
  <si>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</si>
  <si>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</si>
  <si>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</si>
  <si>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</si>
  <si>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</si>
  <si>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</si>
  <si>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</si>
  <si>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</si>
  <si>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 xml:space="preserve">Sales growth </t>
  </si>
  <si>
    <t xml:space="preserve">Cost ratio </t>
  </si>
  <si>
    <t xml:space="preserve">Cashflow costs </t>
  </si>
  <si>
    <t>Receipts</t>
  </si>
  <si>
    <t>Capex</t>
  </si>
  <si>
    <t xml:space="preserve">Operating </t>
  </si>
  <si>
    <t xml:space="preserve">Investment </t>
  </si>
  <si>
    <t>Liabilities</t>
  </si>
  <si>
    <t xml:space="preserve">Free cashflow </t>
  </si>
  <si>
    <t>Cash</t>
  </si>
  <si>
    <t>Assets</t>
  </si>
  <si>
    <t>Check</t>
  </si>
  <si>
    <t xml:space="preserve">Net cash </t>
  </si>
  <si>
    <t>UNTR</t>
  </si>
  <si>
    <t>Target</t>
  </si>
  <si>
    <t xml:space="preserve">Previous </t>
  </si>
  <si>
    <t>Capital</t>
  </si>
  <si>
    <t>Total</t>
  </si>
  <si>
    <t xml:space="preserve">Quarters 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</si>
</sst>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%"/>
  </numFmts>
  <fonts count="7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8"/>
      <name val="Helvetica"/>
    </font>
    <font>
      <b val="1"/>
      <sz val="12"/>
      <color indexed="8"/>
      <name val="Helvetica Neue"/>
    </font>
    <font>
      <b val="1"/>
      <sz val="25"/>
      <color indexed="8"/>
      <name val="Helvetica Neue"/>
    </font>
    <font>
      <b val="1"/>
      <sz val="25"/>
      <color indexed="16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4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fffff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54513"/>
          <c:y val="0.0426778"/>
          <c:w val="0.836742"/>
          <c:h val="0.886395"/>
        </c:manualLayout>
      </c:layout>
      <c:lineChart>
        <c:grouping val="standard"/>
        <c:varyColors val="0"/>
        <c:ser>
          <c:idx val="0"/>
          <c:order val="0"/>
          <c:tx>
            <c:strRef>
              <c:f>'Balance sheet'!$C$3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'Balance sheet'!$B$20:$B$30</c:f>
              <c:strCache>
                <c:ptCount val="11"/>
                <c:pt idx="0">
                  <c:v>2019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>2020</c:v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>2021</c:v>
                </c:pt>
                <c:pt idx="9">
                  <c:v/>
                </c:pt>
                <c:pt idx="10">
                  <c:v/>
                </c:pt>
              </c:strCache>
            </c:strRef>
          </c:cat>
          <c:val>
            <c:numRef>
              <c:f>'Balance sheet'!$C$20:$C$30</c:f>
              <c:numCache>
                <c:ptCount val="11"/>
                <c:pt idx="0">
                  <c:v>13682.000000</c:v>
                </c:pt>
                <c:pt idx="1">
                  <c:v>12226.000000</c:v>
                </c:pt>
                <c:pt idx="2">
                  <c:v>15978.000000</c:v>
                </c:pt>
                <c:pt idx="3">
                  <c:v>12000.000000</c:v>
                </c:pt>
                <c:pt idx="4">
                  <c:v>17082.000000</c:v>
                </c:pt>
                <c:pt idx="5">
                  <c:v>16930.000000</c:v>
                </c:pt>
                <c:pt idx="6">
                  <c:v>19000.000000</c:v>
                </c:pt>
                <c:pt idx="7">
                  <c:v>20000.000000</c:v>
                </c:pt>
                <c:pt idx="8">
                  <c:v>26000.000000</c:v>
                </c:pt>
                <c:pt idx="9">
                  <c:v>27231.000000</c:v>
                </c:pt>
                <c:pt idx="10">
                  <c:v>31628.000000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in val="10000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5500"/>
        <c:minorUnit val="2750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244776"/>
          <c:y val="0.122324"/>
          <c:w val="0.577156"/>
          <c:h val="0.067677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65932"/>
          <c:y val="0.0426778"/>
          <c:w val="0.792419"/>
          <c:h val="0.886395"/>
        </c:manualLayout>
      </c:layout>
      <c:lineChart>
        <c:grouping val="standard"/>
        <c:varyColors val="0"/>
        <c:ser>
          <c:idx val="0"/>
          <c:order val="0"/>
          <c:tx>
            <c:strRef>
              <c:f>'Capital'!$E$2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'Capital'!$A$3:$A$21</c:f>
              <c:strCach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strCache>
            </c:strRef>
          </c:cat>
          <c:val>
            <c:numRef>
              <c:f>'Capital'!$E$3:$E$21</c:f>
              <c:numCache>
                <c:ptCount val="19"/>
                <c:pt idx="0">
                  <c:v>-84.454000</c:v>
                </c:pt>
                <c:pt idx="1">
                  <c:v>-1597.354000</c:v>
                </c:pt>
                <c:pt idx="2">
                  <c:v>-874.935000</c:v>
                </c:pt>
                <c:pt idx="3">
                  <c:v>-230.287000</c:v>
                </c:pt>
                <c:pt idx="4">
                  <c:v>-1047.797000</c:v>
                </c:pt>
                <c:pt idx="5">
                  <c:v>-216.596000</c:v>
                </c:pt>
                <c:pt idx="6">
                  <c:v>-886.827000</c:v>
                </c:pt>
                <c:pt idx="7">
                  <c:v>1047.229000</c:v>
                </c:pt>
                <c:pt idx="8">
                  <c:v>-151.771000</c:v>
                </c:pt>
                <c:pt idx="9">
                  <c:v>16.729000</c:v>
                </c:pt>
                <c:pt idx="10">
                  <c:v>-1922.271000</c:v>
                </c:pt>
                <c:pt idx="11">
                  <c:v>-3005.271000</c:v>
                </c:pt>
                <c:pt idx="12">
                  <c:v>-3940.271000</c:v>
                </c:pt>
                <c:pt idx="13">
                  <c:v>-4565.271000</c:v>
                </c:pt>
                <c:pt idx="14">
                  <c:v>-1039.271000</c:v>
                </c:pt>
                <c:pt idx="15">
                  <c:v>4001.729000</c:v>
                </c:pt>
                <c:pt idx="16">
                  <c:v>7998.729000</c:v>
                </c:pt>
                <c:pt idx="17">
                  <c:v>5119.729000</c:v>
                </c:pt>
                <c:pt idx="18">
                  <c:v>3215.729000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'Capital'!$A$3:$A$21</c:f>
              <c:strCach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strCache>
            </c:strRef>
          </c:cat>
          <c:val>
            <c:numRef>
              <c:f>'Capital'!$F$3:$F$21</c:f>
              <c:numCache>
                <c:ptCount val="19"/>
                <c:pt idx="0">
                  <c:v>9.924000</c:v>
                </c:pt>
                <c:pt idx="1">
                  <c:v>608.183000</c:v>
                </c:pt>
                <c:pt idx="2">
                  <c:v>503.618000</c:v>
                </c:pt>
                <c:pt idx="3">
                  <c:v>61.619000</c:v>
                </c:pt>
                <c:pt idx="4">
                  <c:v>-358.496000</c:v>
                </c:pt>
                <c:pt idx="5">
                  <c:v>2400.219000</c:v>
                </c:pt>
                <c:pt idx="6">
                  <c:v>1224.930000</c:v>
                </c:pt>
                <c:pt idx="7">
                  <c:v>-404.298000</c:v>
                </c:pt>
                <c:pt idx="8">
                  <c:v>3921.702000</c:v>
                </c:pt>
                <c:pt idx="9">
                  <c:v>1226.018000</c:v>
                </c:pt>
                <c:pt idx="10">
                  <c:v>-947.982000</c:v>
                </c:pt>
                <c:pt idx="11">
                  <c:v>-2942.982000</c:v>
                </c:pt>
                <c:pt idx="12">
                  <c:v>-5930.982000</c:v>
                </c:pt>
                <c:pt idx="13">
                  <c:v>-8125.982000</c:v>
                </c:pt>
                <c:pt idx="14">
                  <c:v>-10668.982000</c:v>
                </c:pt>
                <c:pt idx="15">
                  <c:v>-14551.982000</c:v>
                </c:pt>
                <c:pt idx="16">
                  <c:v>-19450.982000</c:v>
                </c:pt>
                <c:pt idx="17">
                  <c:v>-23288.982000</c:v>
                </c:pt>
                <c:pt idx="18">
                  <c:v>-25122.982000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'Capital'!$G$2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'Capital'!$A$3:$A$21</c:f>
              <c:strCach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strCache>
            </c:strRef>
          </c:cat>
          <c:val>
            <c:numRef>
              <c:f>'Capital'!$G$3:$G$21</c:f>
              <c:numCache>
                <c:ptCount val="19"/>
                <c:pt idx="0">
                  <c:v>-74.530000</c:v>
                </c:pt>
                <c:pt idx="1">
                  <c:v>-989.171000</c:v>
                </c:pt>
                <c:pt idx="2">
                  <c:v>-371.317000</c:v>
                </c:pt>
                <c:pt idx="3">
                  <c:v>-168.668000</c:v>
                </c:pt>
                <c:pt idx="4">
                  <c:v>-1406.293000</c:v>
                </c:pt>
                <c:pt idx="5">
                  <c:v>2183.623000</c:v>
                </c:pt>
                <c:pt idx="6">
                  <c:v>338.103000</c:v>
                </c:pt>
                <c:pt idx="7">
                  <c:v>642.931000</c:v>
                </c:pt>
                <c:pt idx="8">
                  <c:v>3769.931000</c:v>
                </c:pt>
                <c:pt idx="9">
                  <c:v>1242.747000</c:v>
                </c:pt>
                <c:pt idx="10">
                  <c:v>-2870.253000</c:v>
                </c:pt>
                <c:pt idx="11">
                  <c:v>-5948.253000</c:v>
                </c:pt>
                <c:pt idx="12">
                  <c:v>-9871.253000</c:v>
                </c:pt>
                <c:pt idx="13">
                  <c:v>-12691.253000</c:v>
                </c:pt>
                <c:pt idx="14">
                  <c:v>-11708.253000</c:v>
                </c:pt>
                <c:pt idx="15">
                  <c:v>-10550.253000</c:v>
                </c:pt>
                <c:pt idx="16">
                  <c:v>-11452.253000</c:v>
                </c:pt>
                <c:pt idx="17">
                  <c:v>-18169.253000</c:v>
                </c:pt>
                <c:pt idx="18">
                  <c:v>-21907.253000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11250"/>
        <c:minorUnit val="562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2711"/>
          <c:y val="0.0428332"/>
          <c:w val="0.370729"/>
          <c:h val="0.153033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2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385598</xdr:colOff>
      <xdr:row>1</xdr:row>
      <xdr:rowOff>224861</xdr:rowOff>
    </xdr:from>
    <xdr:to>
      <xdr:col>13</xdr:col>
      <xdr:colOff>882238</xdr:colOff>
      <xdr:row>48</xdr:row>
      <xdr:rowOff>4648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335298" y="442031"/>
          <a:ext cx="9208841" cy="1184732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12</xdr:col>
      <xdr:colOff>68870</xdr:colOff>
      <xdr:row>8</xdr:row>
      <xdr:rowOff>170561</xdr:rowOff>
    </xdr:from>
    <xdr:to>
      <xdr:col>14</xdr:col>
      <xdr:colOff>1065093</xdr:colOff>
      <xdr:row>22</xdr:row>
      <xdr:rowOff>93294</xdr:rowOff>
    </xdr:to>
    <xdr:graphicFrame>
      <xdr:nvGraphicFramePr>
        <xdr:cNvPr id="4" name="2D Line Chart"/>
        <xdr:cNvGraphicFramePr/>
      </xdr:nvGraphicFramePr>
      <xdr:xfrm>
        <a:off x="9479570" y="2584196"/>
        <a:ext cx="3485424" cy="348762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745277</xdr:colOff>
      <xdr:row>31</xdr:row>
      <xdr:rowOff>233685</xdr:rowOff>
    </xdr:from>
    <xdr:to>
      <xdr:col>5</xdr:col>
      <xdr:colOff>161077</xdr:colOff>
      <xdr:row>45</xdr:row>
      <xdr:rowOff>183089</xdr:rowOff>
    </xdr:to>
    <xdr:graphicFrame>
      <xdr:nvGraphicFramePr>
        <xdr:cNvPr id="6" name="2D Line Chart"/>
        <xdr:cNvGraphicFramePr/>
      </xdr:nvGraphicFramePr>
      <xdr:xfrm>
        <a:off x="745277" y="8209920"/>
        <a:ext cx="3543301" cy="3487625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462565</xdr:colOff>
      <xdr:row>28</xdr:row>
      <xdr:rowOff>51522</xdr:rowOff>
    </xdr:from>
    <xdr:to>
      <xdr:col>5</xdr:col>
      <xdr:colOff>443789</xdr:colOff>
      <xdr:row>32</xdr:row>
      <xdr:rowOff>23153</xdr:rowOff>
    </xdr:to>
    <xdr:sp>
      <xdr:nvSpPr>
        <xdr:cNvPr id="7" name="UNTR, A BIT OF A MIXED RECORD"/>
        <xdr:cNvSpPr txBox="1"/>
      </xdr:nvSpPr>
      <xdr:spPr>
        <a:xfrm>
          <a:off x="462565" y="7269567"/>
          <a:ext cx="4108725" cy="98255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UNTR, A BIT OF A </a:t>
          </a:r>
          <a:r>
            <a:rPr b="1" baseline="0" cap="none" i="0" spc="0" strike="noStrike" sz="25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MIXED</a:t>
          </a: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RECORD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96875" style="1" customWidth="1"/>
    <col min="2" max="2" width="15.1172" style="1" customWidth="1"/>
    <col min="3" max="6" width="8.58594" style="1" customWidth="1"/>
    <col min="7" max="16384" width="16.3516" style="1" customWidth="1"/>
  </cols>
  <sheetData>
    <row r="1" ht="17.1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s="4"/>
      <c r="F3" t="s" s="5">
        <v>2</v>
      </c>
    </row>
    <row r="4" ht="20.25" customHeight="1">
      <c r="B4" t="s" s="6">
        <v>3</v>
      </c>
      <c r="C4" s="7">
        <f>AVERAGE('Sales'!G28:G31)</f>
        <v>0.123283697994757</v>
      </c>
      <c r="D4" s="8"/>
      <c r="E4" s="8"/>
      <c r="F4" s="9">
        <f>AVERAGE(C5:F5)</f>
        <v>0.0425</v>
      </c>
    </row>
    <row r="5" ht="20.05" customHeight="1">
      <c r="B5" t="s" s="10">
        <v>4</v>
      </c>
      <c r="C5" s="11">
        <v>-0.02</v>
      </c>
      <c r="D5" s="12">
        <v>0.07000000000000001</v>
      </c>
      <c r="E5" s="12">
        <v>0.05</v>
      </c>
      <c r="F5" s="12">
        <v>0.07000000000000001</v>
      </c>
    </row>
    <row r="6" ht="20.05" customHeight="1">
      <c r="B6" t="s" s="10">
        <v>5</v>
      </c>
      <c r="C6" s="13">
        <f>'Sales'!C31*(1+C5)</f>
        <v>21205.338</v>
      </c>
      <c r="D6" s="14">
        <f>C6*(1+D5)</f>
        <v>22689.71166</v>
      </c>
      <c r="E6" s="14">
        <f>D6*(1+E5)</f>
        <v>23824.197243</v>
      </c>
      <c r="F6" s="14">
        <f>E6*(1+F5)</f>
        <v>25491.89105001</v>
      </c>
    </row>
    <row r="7" ht="20.05" customHeight="1">
      <c r="B7" t="s" s="10">
        <v>6</v>
      </c>
      <c r="C7" s="15">
        <f>AVERAGE('Sales'!I31)</f>
        <v>-0.7559063042452679</v>
      </c>
      <c r="D7" s="16">
        <f>C7</f>
        <v>-0.7559063042452679</v>
      </c>
      <c r="E7" s="16">
        <f>D7</f>
        <v>-0.7559063042452679</v>
      </c>
      <c r="F7" s="16">
        <f>E7</f>
        <v>-0.7559063042452679</v>
      </c>
    </row>
    <row r="8" ht="20.05" customHeight="1">
      <c r="B8" t="s" s="10">
        <v>7</v>
      </c>
      <c r="C8" s="17">
        <f>C7*C6</f>
        <v>-16029.2486778517</v>
      </c>
      <c r="D8" s="18">
        <f>D7*D6</f>
        <v>-17151.2960853014</v>
      </c>
      <c r="E8" s="18">
        <f>E7*E6</f>
        <v>-18008.8608895664</v>
      </c>
      <c r="F8" s="18">
        <f>F7*F6</f>
        <v>-19269.4811518361</v>
      </c>
    </row>
    <row r="9" ht="20.05" customHeight="1">
      <c r="B9" t="s" s="10">
        <v>8</v>
      </c>
      <c r="C9" s="17">
        <f>C6+C8</f>
        <v>5176.0893221483</v>
      </c>
      <c r="D9" s="18">
        <f>D6+D8</f>
        <v>5538.4155746986</v>
      </c>
      <c r="E9" s="18">
        <f>E6+E8</f>
        <v>5815.3363534336</v>
      </c>
      <c r="F9" s="18">
        <f>F6+F8</f>
        <v>6222.4098981739</v>
      </c>
    </row>
    <row r="10" ht="20.05" customHeight="1">
      <c r="B10" t="s" s="10">
        <v>9</v>
      </c>
      <c r="C10" s="17">
        <f>AVERAGE('Cashflow'!F31)</f>
        <v>-1050</v>
      </c>
      <c r="D10" s="18">
        <f>C10</f>
        <v>-1050</v>
      </c>
      <c r="E10" s="18">
        <f>D10</f>
        <v>-1050</v>
      </c>
      <c r="F10" s="18">
        <f>E10</f>
        <v>-1050</v>
      </c>
    </row>
    <row r="11" ht="20.05" customHeight="1">
      <c r="B11" t="s" s="10">
        <v>10</v>
      </c>
      <c r="C11" s="17">
        <f>'Cashflow'!G31</f>
        <v>-254.2</v>
      </c>
      <c r="D11" s="18">
        <f>C11</f>
        <v>-254.2</v>
      </c>
      <c r="E11" s="18">
        <f>D11</f>
        <v>-254.2</v>
      </c>
      <c r="F11" s="18">
        <f>E11</f>
        <v>-254.2</v>
      </c>
    </row>
    <row r="12" ht="20.05" customHeight="1">
      <c r="B12" t="s" s="10">
        <v>11</v>
      </c>
      <c r="C12" s="17">
        <f>C13+C14+C16</f>
        <v>-3618.644661074150</v>
      </c>
      <c r="D12" s="18">
        <f>D13+D14+D16</f>
        <v>-3697.9627873493</v>
      </c>
      <c r="E12" s="18">
        <f>E13+E14+E16</f>
        <v>-3739.6704267168</v>
      </c>
      <c r="F12" s="18">
        <f>F13+F14+F16</f>
        <v>-3851.292086586950</v>
      </c>
    </row>
    <row r="13" ht="20.05" customHeight="1">
      <c r="B13" t="s" s="10">
        <v>12</v>
      </c>
      <c r="C13" s="17">
        <f>-('Balance sheet'!G31)/20</f>
        <v>-2036.9</v>
      </c>
      <c r="D13" s="18">
        <f>-C27/20</f>
        <v>-1935.055</v>
      </c>
      <c r="E13" s="18">
        <f>-D27/20</f>
        <v>-1838.30225</v>
      </c>
      <c r="F13" s="18">
        <f>-E27/20</f>
        <v>-1746.3871375</v>
      </c>
    </row>
    <row r="14" ht="20.05" customHeight="1">
      <c r="B14" t="s" s="10">
        <v>13</v>
      </c>
      <c r="C14" s="17">
        <f>IF(C22&gt;0,-C22*0.5,0)</f>
        <v>-1581.744661074150</v>
      </c>
      <c r="D14" s="18">
        <f>IF(D22&gt;0,-D22*0.5,0)</f>
        <v>-1762.9077873493</v>
      </c>
      <c r="E14" s="18">
        <f>IF(E22&gt;0,-E22*0.5,0)</f>
        <v>-1901.3681767168</v>
      </c>
      <c r="F14" s="18">
        <f>IF(F22&gt;0,-F22*0.5,0)</f>
        <v>-2104.904949086950</v>
      </c>
    </row>
    <row r="15" ht="20.05" customHeight="1">
      <c r="B15" t="s" s="10">
        <v>14</v>
      </c>
      <c r="C15" s="17">
        <f>C9+C10+C13+C14</f>
        <v>507.444661074150</v>
      </c>
      <c r="D15" s="18">
        <f>D9+D10+D13+D14</f>
        <v>790.4527873493</v>
      </c>
      <c r="E15" s="18">
        <f>E9+E10+E13+E14</f>
        <v>1025.6659267168</v>
      </c>
      <c r="F15" s="18">
        <f>F9+F10+F13+F14</f>
        <v>1321.117811586950</v>
      </c>
    </row>
    <row r="16" ht="20.05" customHeight="1">
      <c r="B16" t="s" s="10">
        <v>15</v>
      </c>
      <c r="C16" s="17">
        <f>-MIN(0,C15)</f>
        <v>0</v>
      </c>
      <c r="D16" s="18">
        <f>-MIN(C28,D15)</f>
        <v>0</v>
      </c>
      <c r="E16" s="18">
        <f>-MIN(D28,E15)</f>
        <v>0</v>
      </c>
      <c r="F16" s="18">
        <f>-MIN(E28,F15)</f>
        <v>0</v>
      </c>
    </row>
    <row r="17" ht="20.05" customHeight="1">
      <c r="B17" t="s" s="10">
        <v>16</v>
      </c>
      <c r="C17" s="17">
        <f>'Balance sheet'!C31</f>
        <v>33322</v>
      </c>
      <c r="D17" s="18">
        <f>C19</f>
        <v>33829.4446610742</v>
      </c>
      <c r="E17" s="18">
        <f>D19</f>
        <v>34619.8974484235</v>
      </c>
      <c r="F17" s="18">
        <f>E19</f>
        <v>35645.5633751403</v>
      </c>
    </row>
    <row r="18" ht="20.05" customHeight="1">
      <c r="B18" t="s" s="10">
        <v>17</v>
      </c>
      <c r="C18" s="17">
        <f>C9+C10+C12</f>
        <v>507.444661074150</v>
      </c>
      <c r="D18" s="18">
        <f>D9+D10+D12</f>
        <v>790.4527873493</v>
      </c>
      <c r="E18" s="18">
        <f>E9+E10+E12</f>
        <v>1025.6659267168</v>
      </c>
      <c r="F18" s="18">
        <f>F9+F10+F12</f>
        <v>1321.117811586950</v>
      </c>
    </row>
    <row r="19" ht="20.05" customHeight="1">
      <c r="B19" t="s" s="10">
        <v>18</v>
      </c>
      <c r="C19" s="17">
        <f>C17+C18</f>
        <v>33829.4446610742</v>
      </c>
      <c r="D19" s="18">
        <f>D17+D18</f>
        <v>34619.8974484235</v>
      </c>
      <c r="E19" s="18">
        <f>E17+E18</f>
        <v>35645.5633751403</v>
      </c>
      <c r="F19" s="18">
        <f>F17+F18</f>
        <v>36966.6811867273</v>
      </c>
    </row>
    <row r="20" ht="20.05" customHeight="1">
      <c r="B20" t="s" s="19">
        <v>19</v>
      </c>
      <c r="C20" s="17"/>
      <c r="D20" s="18"/>
      <c r="E20" s="18"/>
      <c r="F20" s="20"/>
    </row>
    <row r="21" ht="20.05" customHeight="1">
      <c r="B21" t="s" s="10">
        <v>20</v>
      </c>
      <c r="C21" s="17">
        <f>-AVERAGE('Sales'!E31)</f>
        <v>-2012.6</v>
      </c>
      <c r="D21" s="18">
        <f>C21</f>
        <v>-2012.6</v>
      </c>
      <c r="E21" s="18">
        <f>D21</f>
        <v>-2012.6</v>
      </c>
      <c r="F21" s="18">
        <f>E21</f>
        <v>-2012.6</v>
      </c>
    </row>
    <row r="22" ht="20.05" customHeight="1">
      <c r="B22" t="s" s="10">
        <v>21</v>
      </c>
      <c r="C22" s="17">
        <f>C6+C8+C21</f>
        <v>3163.4893221483</v>
      </c>
      <c r="D22" s="18">
        <f>D6+D8+D21</f>
        <v>3525.8155746986</v>
      </c>
      <c r="E22" s="18">
        <f>E6+E8+E21</f>
        <v>3802.7363534336</v>
      </c>
      <c r="F22" s="18">
        <f>F6+F8+F21</f>
        <v>4209.8098981739</v>
      </c>
    </row>
    <row r="23" ht="20.05" customHeight="1">
      <c r="B23" t="s" s="19">
        <v>22</v>
      </c>
      <c r="C23" s="17"/>
      <c r="D23" s="18"/>
      <c r="E23" s="18"/>
      <c r="F23" s="18"/>
    </row>
    <row r="24" ht="20.05" customHeight="1">
      <c r="B24" t="s" s="10">
        <v>23</v>
      </c>
      <c r="C24" s="17">
        <f>'Balance sheet'!E31+'Balance sheet'!F31-C10</f>
        <v>145655</v>
      </c>
      <c r="D24" s="18">
        <f>C24-D10</f>
        <v>146705</v>
      </c>
      <c r="E24" s="18">
        <f>D24-E10</f>
        <v>147755</v>
      </c>
      <c r="F24" s="18">
        <f>E24-F10</f>
        <v>148805</v>
      </c>
    </row>
    <row r="25" ht="20.05" customHeight="1">
      <c r="B25" t="s" s="10">
        <v>24</v>
      </c>
      <c r="C25" s="17">
        <f>'Balance sheet'!F31-C21</f>
        <v>67378.600000000006</v>
      </c>
      <c r="D25" s="18">
        <f>C25-D21</f>
        <v>69391.2</v>
      </c>
      <c r="E25" s="18">
        <f>D25-E21</f>
        <v>71403.8</v>
      </c>
      <c r="F25" s="18">
        <f>E25-F21</f>
        <v>73416.399999999994</v>
      </c>
    </row>
    <row r="26" ht="20.05" customHeight="1">
      <c r="B26" t="s" s="10">
        <v>25</v>
      </c>
      <c r="C26" s="17">
        <f>C24-C25</f>
        <v>78276.399999999994</v>
      </c>
      <c r="D26" s="18">
        <f>D24-D25</f>
        <v>77313.8</v>
      </c>
      <c r="E26" s="18">
        <f>E24-E25</f>
        <v>76351.2</v>
      </c>
      <c r="F26" s="18">
        <f>F24-F25</f>
        <v>75388.600000000006</v>
      </c>
    </row>
    <row r="27" ht="20.05" customHeight="1">
      <c r="B27" t="s" s="10">
        <v>12</v>
      </c>
      <c r="C27" s="17">
        <f>'Balance sheet'!G31+C13</f>
        <v>38701.1</v>
      </c>
      <c r="D27" s="18">
        <f>C27+D13</f>
        <v>36766.045</v>
      </c>
      <c r="E27" s="18">
        <f>D27+E13</f>
        <v>34927.74275</v>
      </c>
      <c r="F27" s="18">
        <f>E27+F13</f>
        <v>33181.3556125</v>
      </c>
    </row>
    <row r="28" ht="20.05" customHeight="1">
      <c r="B28" t="s" s="10">
        <v>15</v>
      </c>
      <c r="C28" s="17">
        <f>C16</f>
        <v>0</v>
      </c>
      <c r="D28" s="18">
        <f>C28+D16</f>
        <v>0</v>
      </c>
      <c r="E28" s="18">
        <f>D28+E16</f>
        <v>0</v>
      </c>
      <c r="F28" s="18">
        <f>E28+F16</f>
        <v>0</v>
      </c>
    </row>
    <row r="29" ht="20.05" customHeight="1">
      <c r="B29" t="s" s="10">
        <v>26</v>
      </c>
      <c r="C29" s="17">
        <f>'Balance sheet'!H31+C22+C14</f>
        <v>73404.7446610742</v>
      </c>
      <c r="D29" s="18">
        <f>C29+D22+D14</f>
        <v>75167.6524484235</v>
      </c>
      <c r="E29" s="18">
        <f>D29+E22+E14</f>
        <v>77069.0206251403</v>
      </c>
      <c r="F29" s="18">
        <f>E29+F22+F14</f>
        <v>79173.925574227294</v>
      </c>
    </row>
    <row r="30" ht="20.05" customHeight="1">
      <c r="B30" t="s" s="10">
        <v>27</v>
      </c>
      <c r="C30" s="17">
        <f>C27+C28+C29-C19-C26</f>
        <v>0</v>
      </c>
      <c r="D30" s="18">
        <f>D27+D28+D29-D19-D26</f>
        <v>0</v>
      </c>
      <c r="E30" s="18">
        <f>E27+E28+E29-E19-E26</f>
        <v>0</v>
      </c>
      <c r="F30" s="18">
        <f>F27+F28+F29-F19-F26</f>
        <v>0</v>
      </c>
    </row>
    <row r="31" ht="20.05" customHeight="1">
      <c r="B31" t="s" s="10">
        <v>28</v>
      </c>
      <c r="C31" s="17">
        <f>C19-C27-C28</f>
        <v>-4871.6553389258</v>
      </c>
      <c r="D31" s="18">
        <f>D19-D27-D28</f>
        <v>-2146.1475515765</v>
      </c>
      <c r="E31" s="18">
        <f>E19-E27-E28</f>
        <v>717.8206251403</v>
      </c>
      <c r="F31" s="18">
        <f>F19-F27-F28</f>
        <v>3785.3255742273</v>
      </c>
    </row>
    <row r="32" ht="20.05" customHeight="1">
      <c r="B32" t="s" s="19">
        <v>29</v>
      </c>
      <c r="C32" s="17"/>
      <c r="D32" s="18"/>
      <c r="E32" s="18"/>
      <c r="F32" s="18"/>
    </row>
    <row r="33" ht="20.05" customHeight="1">
      <c r="B33" t="s" s="10">
        <v>30</v>
      </c>
      <c r="C33" s="17">
        <f>'Cashflow'!N31-(C12-C11)</f>
        <v>21975.1446610742</v>
      </c>
      <c r="D33" s="18">
        <f>C33-(D12-D11)</f>
        <v>25418.9074484235</v>
      </c>
      <c r="E33" s="18">
        <f>D33-(E12-E11)</f>
        <v>28904.3778751403</v>
      </c>
      <c r="F33" s="18">
        <f>E33-(F12-F11)</f>
        <v>32501.4699617273</v>
      </c>
    </row>
    <row r="34" ht="20.05" customHeight="1">
      <c r="B34" t="s" s="10">
        <v>31</v>
      </c>
      <c r="C34" s="17"/>
      <c r="D34" s="18"/>
      <c r="E34" s="18"/>
      <c r="F34" s="18">
        <v>92880</v>
      </c>
    </row>
    <row r="35" ht="20.05" customHeight="1">
      <c r="B35" t="s" s="10">
        <v>32</v>
      </c>
      <c r="C35" s="17"/>
      <c r="D35" s="18"/>
      <c r="E35" s="18"/>
      <c r="F35" s="21">
        <f>F34/(F19+F26)</f>
        <v>0.826663411091815</v>
      </c>
    </row>
    <row r="36" ht="20.05" customHeight="1">
      <c r="B36" t="s" s="10">
        <v>33</v>
      </c>
      <c r="C36" s="17"/>
      <c r="D36" s="18"/>
      <c r="E36" s="18"/>
      <c r="F36" s="16">
        <f>-(C14+D14+E14+F14)/F34</f>
        <v>0.07914433219452199</v>
      </c>
    </row>
    <row r="37" ht="20.05" customHeight="1">
      <c r="B37" t="s" s="10">
        <v>3</v>
      </c>
      <c r="C37" s="17"/>
      <c r="D37" s="18"/>
      <c r="E37" s="18"/>
      <c r="F37" s="18">
        <f>SUM(C9:F11)</f>
        <v>17535.4511484544</v>
      </c>
    </row>
    <row r="38" ht="20.05" customHeight="1">
      <c r="B38" t="s" s="10">
        <v>34</v>
      </c>
      <c r="C38" s="17"/>
      <c r="D38" s="18"/>
      <c r="E38" s="18"/>
      <c r="F38" s="18">
        <f>'Balance sheet'!E31/F37</f>
        <v>4.51878878559587</v>
      </c>
    </row>
    <row r="39" ht="20.05" customHeight="1">
      <c r="B39" t="s" s="10">
        <v>29</v>
      </c>
      <c r="C39" s="17"/>
      <c r="D39" s="18"/>
      <c r="E39" s="18"/>
      <c r="F39" s="18">
        <f>F34/F37</f>
        <v>5.2966986257543</v>
      </c>
    </row>
    <row r="40" ht="20.05" customHeight="1">
      <c r="B40" t="s" s="10">
        <v>35</v>
      </c>
      <c r="C40" s="17"/>
      <c r="D40" s="18"/>
      <c r="E40" s="18"/>
      <c r="F40" s="18">
        <v>10</v>
      </c>
    </row>
    <row r="41" ht="20.05" customHeight="1">
      <c r="B41" t="s" s="10">
        <v>36</v>
      </c>
      <c r="C41" s="17"/>
      <c r="D41" s="18"/>
      <c r="E41" s="18"/>
      <c r="F41" s="18">
        <f>F37*F40</f>
        <v>175354.511484544</v>
      </c>
    </row>
    <row r="42" ht="20.05" customHeight="1">
      <c r="B42" t="s" s="10">
        <v>37</v>
      </c>
      <c r="C42" s="17"/>
      <c r="D42" s="18"/>
      <c r="E42" s="18"/>
      <c r="F42" s="18">
        <f>F34/F44</f>
        <v>3.73012048192771</v>
      </c>
    </row>
    <row r="43" ht="20.05" customHeight="1">
      <c r="B43" t="s" s="10">
        <v>38</v>
      </c>
      <c r="C43" s="17"/>
      <c r="D43" s="18"/>
      <c r="E43" s="18"/>
      <c r="F43" s="18">
        <f>F41/F42</f>
        <v>47010.4149005722</v>
      </c>
    </row>
    <row r="44" ht="20.05" customHeight="1">
      <c r="B44" t="s" s="10">
        <v>39</v>
      </c>
      <c r="C44" s="17"/>
      <c r="D44" s="18"/>
      <c r="E44" s="18"/>
      <c r="F44" s="18">
        <f>'Share price'!C20</f>
        <v>24900</v>
      </c>
    </row>
    <row r="45" ht="20.05" customHeight="1">
      <c r="B45" t="s" s="10">
        <v>40</v>
      </c>
      <c r="C45" s="17"/>
      <c r="D45" s="18"/>
      <c r="E45" s="18"/>
      <c r="F45" s="16">
        <f>F43/F44-1</f>
        <v>0.887968469902498</v>
      </c>
    </row>
    <row r="46" ht="20.05" customHeight="1">
      <c r="B46" t="s" s="10">
        <v>41</v>
      </c>
      <c r="C46" s="17"/>
      <c r="D46" s="18"/>
      <c r="E46" s="18"/>
      <c r="F46" s="16">
        <f>'Sales'!C31/'Sales'!C27-1</f>
        <v>0.567978260869565</v>
      </c>
    </row>
    <row r="47" ht="20.05" customHeight="1">
      <c r="B47" t="s" s="10">
        <v>42</v>
      </c>
      <c r="C47" s="17"/>
      <c r="D47" s="18"/>
      <c r="E47" s="18"/>
      <c r="F47" s="16">
        <f>('Sales'!D23+'Sales'!D31+'Sales'!D24+'Sales'!D25+'Sales'!D26+'Sales'!D27+'Sales'!D28+'Sales'!D29+'Sales'!D30)/('Sales'!C23+'Sales'!C24+'Sales'!C25+'Sales'!C26+'Sales'!C27+'Sales'!C28+'Sales'!C29+'Sales'!C31+'Sales'!C30)-1</f>
        <v>0.08928965284544391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91406" style="22" customWidth="1"/>
    <col min="2" max="2" width="7.33594" style="22" customWidth="1"/>
    <col min="3" max="11" width="10.4844" style="22" customWidth="1"/>
    <col min="12" max="16384" width="16.3516" style="22" customWidth="1"/>
  </cols>
  <sheetData>
    <row r="1" ht="39.5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</v>
      </c>
      <c r="D3" t="s" s="5">
        <v>35</v>
      </c>
      <c r="E3" t="s" s="5">
        <v>24</v>
      </c>
      <c r="F3" t="s" s="5">
        <v>21</v>
      </c>
      <c r="G3" t="s" s="5">
        <v>43</v>
      </c>
      <c r="H3" t="s" s="5">
        <v>44</v>
      </c>
      <c r="I3" t="s" s="5">
        <v>44</v>
      </c>
      <c r="J3" t="s" s="5">
        <v>35</v>
      </c>
      <c r="K3" t="s" s="5">
        <v>45</v>
      </c>
    </row>
    <row r="4" ht="20.25" customHeight="1">
      <c r="B4" s="23">
        <v>2015</v>
      </c>
      <c r="C4" s="24">
        <v>12648</v>
      </c>
      <c r="D4" s="25"/>
      <c r="E4" s="25">
        <v>1245</v>
      </c>
      <c r="F4" s="25">
        <v>1640</v>
      </c>
      <c r="G4" s="9"/>
      <c r="H4" s="26">
        <f>(E4+F4-C4)/C4</f>
        <v>-0.771900695762176</v>
      </c>
      <c r="I4" s="26"/>
      <c r="J4" s="26"/>
      <c r="K4" s="26"/>
    </row>
    <row r="5" ht="20.05" customHeight="1">
      <c r="B5" s="27"/>
      <c r="C5" s="13">
        <v>12301</v>
      </c>
      <c r="D5" s="18"/>
      <c r="E5" s="18">
        <v>744</v>
      </c>
      <c r="F5" s="18">
        <v>1756</v>
      </c>
      <c r="G5" s="12">
        <f>C5/C4-1</f>
        <v>-0.0274351676154333</v>
      </c>
      <c r="H5" s="16">
        <f>(E5+F5-C5)/C5</f>
        <v>-0.796764490691814</v>
      </c>
      <c r="I5" s="16"/>
      <c r="J5" s="16"/>
      <c r="K5" s="16"/>
    </row>
    <row r="6" ht="20.05" customHeight="1">
      <c r="B6" s="27"/>
      <c r="C6" s="13">
        <v>13251</v>
      </c>
      <c r="D6" s="18"/>
      <c r="E6" s="18">
        <v>0</v>
      </c>
      <c r="F6" s="18">
        <v>2156</v>
      </c>
      <c r="G6" s="12">
        <f>C6/C5-1</f>
        <v>0.0772294935371108</v>
      </c>
      <c r="H6" s="16">
        <f>(E6+F6-C6)/C6</f>
        <v>-0.83729529846804</v>
      </c>
      <c r="I6" s="20"/>
      <c r="J6" s="20"/>
      <c r="K6" s="20"/>
    </row>
    <row r="7" ht="20.05" customHeight="1">
      <c r="B7" s="27"/>
      <c r="C7" s="13">
        <v>11100</v>
      </c>
      <c r="D7" s="18"/>
      <c r="E7" s="18">
        <v>1074</v>
      </c>
      <c r="F7" s="18">
        <v>-2762</v>
      </c>
      <c r="G7" s="12">
        <f>C7/C6-1</f>
        <v>-0.162327371519131</v>
      </c>
      <c r="H7" s="16">
        <f>(E7+F7-C7)/C7</f>
        <v>-1.15207207207207</v>
      </c>
      <c r="I7" s="20"/>
      <c r="J7" s="20"/>
      <c r="K7" s="20"/>
    </row>
    <row r="8" ht="20.05" customHeight="1">
      <c r="B8" s="28">
        <v>2016</v>
      </c>
      <c r="C8" s="13">
        <v>10696</v>
      </c>
      <c r="D8" s="18"/>
      <c r="E8" s="18">
        <v>919</v>
      </c>
      <c r="F8" s="18">
        <v>748</v>
      </c>
      <c r="G8" s="12">
        <f>C8/C7-1</f>
        <v>-0.0363963963963964</v>
      </c>
      <c r="H8" s="16">
        <f>(E8+F8-C8)/C8</f>
        <v>-0.844147344801795</v>
      </c>
      <c r="I8" s="20"/>
      <c r="J8" s="20"/>
      <c r="K8" s="20"/>
    </row>
    <row r="9" ht="20.05" customHeight="1">
      <c r="B9" s="27"/>
      <c r="C9" s="13">
        <v>11867</v>
      </c>
      <c r="D9" s="18"/>
      <c r="E9" s="18">
        <v>862</v>
      </c>
      <c r="F9" s="18">
        <v>1127</v>
      </c>
      <c r="G9" s="12">
        <f>C9/C8-1</f>
        <v>0.109480179506358</v>
      </c>
      <c r="H9" s="16">
        <f>(E9+F9-C9)/C9</f>
        <v>-0.832392348529536</v>
      </c>
      <c r="I9" s="20"/>
      <c r="J9" s="20"/>
      <c r="K9" s="20"/>
    </row>
    <row r="10" ht="20.05" customHeight="1">
      <c r="B10" s="27"/>
      <c r="C10" s="13">
        <v>11237</v>
      </c>
      <c r="D10" s="18"/>
      <c r="E10" s="18">
        <v>835</v>
      </c>
      <c r="F10" s="18">
        <v>1306</v>
      </c>
      <c r="G10" s="12">
        <f>C10/C9-1</f>
        <v>-0.0530883963933597</v>
      </c>
      <c r="H10" s="16">
        <f>(E10+F10-C10)/C10</f>
        <v>-0.809468719409095</v>
      </c>
      <c r="I10" s="20"/>
      <c r="J10" s="20"/>
      <c r="K10" s="20"/>
    </row>
    <row r="11" ht="20.05" customHeight="1">
      <c r="B11" s="27"/>
      <c r="C11" s="13">
        <v>11700</v>
      </c>
      <c r="D11" s="18"/>
      <c r="E11" s="18">
        <v>807</v>
      </c>
      <c r="F11" s="18">
        <v>1923</v>
      </c>
      <c r="G11" s="12">
        <f>C11/C10-1</f>
        <v>0.0412031681053662</v>
      </c>
      <c r="H11" s="16">
        <f>(E11+F11-C11)/C11</f>
        <v>-0.7666666666666671</v>
      </c>
      <c r="I11" s="20"/>
      <c r="J11" s="20"/>
      <c r="K11" s="20"/>
    </row>
    <row r="12" ht="20.05" customHeight="1">
      <c r="B12" s="28">
        <v>2017</v>
      </c>
      <c r="C12" s="13">
        <v>13600</v>
      </c>
      <c r="D12" s="18"/>
      <c r="E12" s="18">
        <v>865</v>
      </c>
      <c r="F12" s="18">
        <v>1570</v>
      </c>
      <c r="G12" s="12">
        <f>C12/C11-1</f>
        <v>0.162393162393162</v>
      </c>
      <c r="H12" s="16">
        <f>(E12+F12-C12)/C12</f>
        <v>-0.820955882352941</v>
      </c>
      <c r="I12" s="16">
        <f>AVERAGE(H9:H12)</f>
        <v>-0.80737090423956</v>
      </c>
      <c r="J12" s="20"/>
      <c r="K12" s="20"/>
    </row>
    <row r="13" ht="20.05" customHeight="1">
      <c r="B13" s="27"/>
      <c r="C13" s="13">
        <v>15800</v>
      </c>
      <c r="D13" s="18"/>
      <c r="E13" s="18">
        <v>839</v>
      </c>
      <c r="F13" s="18">
        <v>2000</v>
      </c>
      <c r="G13" s="12">
        <f>C13/C12-1</f>
        <v>0.161764705882353</v>
      </c>
      <c r="H13" s="16">
        <f>(E13+F13-C13)/C13</f>
        <v>-0.820316455696203</v>
      </c>
      <c r="I13" s="16">
        <f>AVERAGE(H10:H13)</f>
        <v>-0.804351931031227</v>
      </c>
      <c r="J13" s="20"/>
      <c r="K13" s="20"/>
    </row>
    <row r="14" ht="20.05" customHeight="1">
      <c r="B14" s="27"/>
      <c r="C14" s="13">
        <v>16800</v>
      </c>
      <c r="D14" s="18"/>
      <c r="E14" s="18">
        <v>907</v>
      </c>
      <c r="F14" s="18">
        <v>2230</v>
      </c>
      <c r="G14" s="12">
        <f>C14/C13-1</f>
        <v>0.06329113924050631</v>
      </c>
      <c r="H14" s="16">
        <f>(E14+F14-C14)/C14</f>
        <v>-0.81327380952381</v>
      </c>
      <c r="I14" s="16">
        <f>AVERAGE(H11:H14)</f>
        <v>-0.805303203559905</v>
      </c>
      <c r="J14" s="20"/>
      <c r="K14" s="20"/>
    </row>
    <row r="15" ht="20.05" customHeight="1">
      <c r="B15" s="27"/>
      <c r="C15" s="13">
        <v>18300</v>
      </c>
      <c r="D15" s="18"/>
      <c r="E15" s="18">
        <v>1062</v>
      </c>
      <c r="F15" s="18">
        <v>1800</v>
      </c>
      <c r="G15" s="12">
        <f>C15/C14-1</f>
        <v>0.0892857142857143</v>
      </c>
      <c r="H15" s="16">
        <f>(E15+F15-C15)/C15</f>
        <v>-0.843606557377049</v>
      </c>
      <c r="I15" s="16">
        <f>AVERAGE(H12:H15)</f>
        <v>-0.824538176237501</v>
      </c>
      <c r="J15" s="20"/>
      <c r="K15" s="20"/>
    </row>
    <row r="16" ht="20.05" customHeight="1">
      <c r="B16" s="28">
        <v>2018</v>
      </c>
      <c r="C16" s="13">
        <v>19000</v>
      </c>
      <c r="D16" s="18"/>
      <c r="E16" s="18">
        <v>1012</v>
      </c>
      <c r="F16" s="18">
        <v>2600</v>
      </c>
      <c r="G16" s="12">
        <f>C16/C15-1</f>
        <v>0.0382513661202186</v>
      </c>
      <c r="H16" s="16">
        <f>(E16+F16-C16)/C16</f>
        <v>-0.809894736842105</v>
      </c>
      <c r="I16" s="16">
        <f>AVERAGE(H13:H16)</f>
        <v>-0.821772889859792</v>
      </c>
      <c r="J16" s="20"/>
      <c r="K16" s="20"/>
    </row>
    <row r="17" ht="20.05" customHeight="1">
      <c r="B17" s="27"/>
      <c r="C17" s="13">
        <v>19900</v>
      </c>
      <c r="D17" s="18"/>
      <c r="E17" s="18">
        <v>1237</v>
      </c>
      <c r="F17" s="18">
        <v>3100</v>
      </c>
      <c r="G17" s="12">
        <f>C17/C16-1</f>
        <v>0.0473684210526316</v>
      </c>
      <c r="H17" s="16">
        <f>(E17+F17-C17)/C17</f>
        <v>-0.782060301507538</v>
      </c>
      <c r="I17" s="16">
        <f>AVERAGE(H14:H17)</f>
        <v>-0.812208851312626</v>
      </c>
      <c r="J17" s="20"/>
      <c r="K17" s="20"/>
    </row>
    <row r="18" ht="20.05" customHeight="1">
      <c r="B18" s="27"/>
      <c r="C18" s="13">
        <v>22100</v>
      </c>
      <c r="D18" s="18"/>
      <c r="E18" s="18">
        <v>1237</v>
      </c>
      <c r="F18" s="18">
        <v>3700</v>
      </c>
      <c r="G18" s="12">
        <f>C18/C17-1</f>
        <v>0.110552763819095</v>
      </c>
      <c r="H18" s="16">
        <f>(E18+F18-C18)/C18</f>
        <v>-0.776606334841629</v>
      </c>
      <c r="I18" s="16">
        <f>AVERAGE(H15:H18)</f>
        <v>-0.80304198264208</v>
      </c>
      <c r="J18" s="20"/>
      <c r="K18" s="20"/>
    </row>
    <row r="19" ht="20.05" customHeight="1">
      <c r="B19" s="27"/>
      <c r="C19" s="13">
        <v>23600</v>
      </c>
      <c r="D19" s="18"/>
      <c r="E19" s="18">
        <v>1416</v>
      </c>
      <c r="F19" s="18">
        <v>2000</v>
      </c>
      <c r="G19" s="12">
        <f>C19/C18-1</f>
        <v>0.0678733031674208</v>
      </c>
      <c r="H19" s="16">
        <f>(E19+F19-C19)/C19</f>
        <v>-0.855254237288136</v>
      </c>
      <c r="I19" s="16">
        <f>AVERAGE(H16:H19)</f>
        <v>-0.805953902619852</v>
      </c>
      <c r="J19" s="20"/>
      <c r="K19" s="20"/>
    </row>
    <row r="20" ht="20.05" customHeight="1">
      <c r="B20" s="28">
        <v>2019</v>
      </c>
      <c r="C20" s="13">
        <v>22600</v>
      </c>
      <c r="D20" s="18"/>
      <c r="E20" s="18">
        <v>1783</v>
      </c>
      <c r="F20" s="18">
        <v>3100</v>
      </c>
      <c r="G20" s="12">
        <f>C20/C19-1</f>
        <v>-0.0423728813559322</v>
      </c>
      <c r="H20" s="16">
        <f>(E20+F20-C20)/C20</f>
        <v>-0.783938053097345</v>
      </c>
      <c r="I20" s="16">
        <f>AVERAGE(H17:H20)</f>
        <v>-0.7994647316836621</v>
      </c>
      <c r="J20" s="16"/>
      <c r="K20" s="16">
        <f>('Cashflow'!E20-'Cashflow'!C20)/'Cashflow'!C20</f>
        <v>-0.897818650317651</v>
      </c>
    </row>
    <row r="21" ht="20.05" customHeight="1">
      <c r="B21" s="27"/>
      <c r="C21" s="13">
        <v>20700</v>
      </c>
      <c r="D21" s="18"/>
      <c r="E21" s="18">
        <v>1780</v>
      </c>
      <c r="F21" s="18">
        <v>2500</v>
      </c>
      <c r="G21" s="12">
        <f>C21/C20-1</f>
        <v>-0.084070796460177</v>
      </c>
      <c r="H21" s="16">
        <f>(E21+F21-C21)/C21</f>
        <v>-0.793236714975845</v>
      </c>
      <c r="I21" s="16">
        <f>AVERAGE(H18:H21)</f>
        <v>-0.802258835050739</v>
      </c>
      <c r="J21" s="16"/>
      <c r="K21" s="16">
        <f>('Cashflow'!E21-'Cashflow'!C21)/'Cashflow'!C21</f>
        <v>-1.0100090081073</v>
      </c>
    </row>
    <row r="22" ht="20.05" customHeight="1">
      <c r="B22" s="27"/>
      <c r="C22" s="13">
        <v>22300</v>
      </c>
      <c r="D22" s="18"/>
      <c r="E22" s="18">
        <v>2231</v>
      </c>
      <c r="F22" s="18">
        <v>2900</v>
      </c>
      <c r="G22" s="12">
        <f>C22/C21-1</f>
        <v>0.0772946859903382</v>
      </c>
      <c r="H22" s="16">
        <f>(E22+F22-C22)/C22</f>
        <v>-0.769910313901345</v>
      </c>
      <c r="I22" s="16">
        <f>AVERAGE(H19:H22)</f>
        <v>-0.800584829815668</v>
      </c>
      <c r="J22" s="16"/>
      <c r="K22" s="16">
        <f>('Cashflow'!E22-'Cashflow'!C22)/'Cashflow'!C22</f>
        <v>-0.695316052751251</v>
      </c>
    </row>
    <row r="23" ht="20.05" customHeight="1">
      <c r="B23" s="27"/>
      <c r="C23" s="13">
        <v>18800</v>
      </c>
      <c r="D23" s="14">
        <v>23600</v>
      </c>
      <c r="E23" s="18">
        <v>2048</v>
      </c>
      <c r="F23" s="18">
        <v>2600</v>
      </c>
      <c r="G23" s="12">
        <f>C23/C22-1</f>
        <v>-0.15695067264574</v>
      </c>
      <c r="H23" s="16">
        <f>(E23+F23-C23)/C23</f>
        <v>-0.752765957446809</v>
      </c>
      <c r="I23" s="16">
        <f>AVERAGE(H20:H23)</f>
        <v>-0.774962759855336</v>
      </c>
      <c r="J23" s="16"/>
      <c r="K23" s="16">
        <f>('Cashflow'!E23-'Cashflow'!C23)/'Cashflow'!C23</f>
        <v>-0.97184816778492</v>
      </c>
    </row>
    <row r="24" ht="20.05" customHeight="1">
      <c r="B24" s="28">
        <v>2020</v>
      </c>
      <c r="C24" s="13">
        <v>18314</v>
      </c>
      <c r="D24" s="14">
        <v>20340</v>
      </c>
      <c r="E24" s="18">
        <v>2400</v>
      </c>
      <c r="F24" s="18">
        <v>1801</v>
      </c>
      <c r="G24" s="12">
        <f>C24/C23-1</f>
        <v>-0.0258510638297872</v>
      </c>
      <c r="H24" s="16">
        <f>(E24+F24-C24)/C24</f>
        <v>-0.770612646063121</v>
      </c>
      <c r="I24" s="16">
        <f>AVERAGE(H21:H24)</f>
        <v>-0.77163140809678</v>
      </c>
      <c r="J24" s="16"/>
      <c r="K24" s="16">
        <f>('Cashflow'!E24-'Cashflow'!C24)/'Cashflow'!C24</f>
        <v>-0.759585998940548</v>
      </c>
    </row>
    <row r="25" ht="20.05" customHeight="1">
      <c r="B25" s="27"/>
      <c r="C25" s="13">
        <v>14878</v>
      </c>
      <c r="D25" s="14">
        <v>17595</v>
      </c>
      <c r="E25" s="18">
        <v>2543</v>
      </c>
      <c r="F25" s="18">
        <v>2294</v>
      </c>
      <c r="G25" s="12">
        <f>C25/C24-1</f>
        <v>-0.187616031451349</v>
      </c>
      <c r="H25" s="16">
        <f>(E25+F25-C25)/C25</f>
        <v>-0.674889097997043</v>
      </c>
      <c r="I25" s="16">
        <f>AVERAGE(H22:H25)</f>
        <v>-0.74204450385208</v>
      </c>
      <c r="J25" s="16"/>
      <c r="K25" s="16">
        <f>('Cashflow'!E25-'Cashflow'!C25)/'Cashflow'!C25</f>
        <v>-0.823551080550098</v>
      </c>
    </row>
    <row r="26" ht="20.05" customHeight="1">
      <c r="B26" s="27"/>
      <c r="C26" s="13">
        <v>13308</v>
      </c>
      <c r="D26" s="14">
        <v>17840</v>
      </c>
      <c r="E26" s="18">
        <v>2257</v>
      </c>
      <c r="F26" s="18">
        <v>1105</v>
      </c>
      <c r="G26" s="12">
        <f>C26/C25-1</f>
        <v>-0.105524936147332</v>
      </c>
      <c r="H26" s="16">
        <f>(E26+F26-C26)/C26</f>
        <v>-0.747370003005711</v>
      </c>
      <c r="I26" s="16">
        <f>AVERAGE(H23:H26)</f>
        <v>-0.736409426128171</v>
      </c>
      <c r="J26" s="16"/>
      <c r="K26" s="16">
        <f>('Cashflow'!E26-'Cashflow'!C26)/'Cashflow'!C26</f>
        <v>-0.620330767037354</v>
      </c>
    </row>
    <row r="27" ht="20.05" customHeight="1">
      <c r="B27" s="27"/>
      <c r="C27" s="13">
        <v>13800</v>
      </c>
      <c r="D27" s="14">
        <v>14638.8</v>
      </c>
      <c r="E27" s="18">
        <v>2700</v>
      </c>
      <c r="F27" s="18">
        <v>400</v>
      </c>
      <c r="G27" s="12">
        <f>C27/C26-1</f>
        <v>0.0369702434625789</v>
      </c>
      <c r="H27" s="16">
        <f>(E27+F27-C27)/C27</f>
        <v>-0.77536231884058</v>
      </c>
      <c r="I27" s="16">
        <f>AVERAGE(H24:H27)</f>
        <v>-0.742058516476614</v>
      </c>
      <c r="J27" s="16"/>
      <c r="K27" s="16">
        <f>('Cashflow'!E27-'Cashflow'!C27)/'Cashflow'!C27</f>
        <v>-0.674925955356498</v>
      </c>
    </row>
    <row r="28" ht="20.05" customHeight="1">
      <c r="B28" s="28">
        <v>2021</v>
      </c>
      <c r="C28" s="13">
        <v>17900</v>
      </c>
      <c r="D28" s="14">
        <v>16008</v>
      </c>
      <c r="E28" s="18">
        <v>2249.5</v>
      </c>
      <c r="F28" s="18">
        <v>1900</v>
      </c>
      <c r="G28" s="12">
        <f>C28/C27-1</f>
        <v>0.297101449275362</v>
      </c>
      <c r="H28" s="16">
        <f>(E28+F28-C28)/C28</f>
        <v>-0.768184357541899</v>
      </c>
      <c r="I28" s="16">
        <f>AVERAGE(H25:H28)</f>
        <v>-0.7414514443463081</v>
      </c>
      <c r="J28" s="16"/>
      <c r="K28" s="16">
        <f>('Cashflow'!E28-'Cashflow'!C28)/'Cashflow'!C28</f>
        <v>-0.636904761904762</v>
      </c>
    </row>
    <row r="29" ht="20.05" customHeight="1">
      <c r="B29" s="27"/>
      <c r="C29" s="17">
        <v>19411</v>
      </c>
      <c r="D29" s="14">
        <v>20800</v>
      </c>
      <c r="E29" s="18">
        <v>2249.5</v>
      </c>
      <c r="F29" s="18">
        <v>2789</v>
      </c>
      <c r="G29" s="12">
        <f>C29/C28-1</f>
        <v>0.08441340782122909</v>
      </c>
      <c r="H29" s="16">
        <f>(E29+F29-C29)/C29</f>
        <v>-0.740430683632992</v>
      </c>
      <c r="I29" s="16">
        <f>AVERAGE(H26:H29)</f>
        <v>-0.757836840755296</v>
      </c>
      <c r="J29" s="16"/>
      <c r="K29" s="16">
        <f>('Cashflow'!E29-'Cashflow'!C29)/'Cashflow'!C29</f>
        <v>-0.699573742540494</v>
      </c>
    </row>
    <row r="30" ht="20.05" customHeight="1">
      <c r="B30" s="27"/>
      <c r="C30" s="13">
        <f>57822.4-SUM(C28:C29)</f>
        <v>20511.4</v>
      </c>
      <c r="D30" s="14">
        <v>20769.77</v>
      </c>
      <c r="E30" s="18">
        <f>6752.1-SUM(E28:E29)</f>
        <v>2253.1</v>
      </c>
      <c r="F30" s="18">
        <f>8065.9-SUM(F28:F29)</f>
        <v>3376.9</v>
      </c>
      <c r="G30" s="12">
        <f>C30/C29-1</f>
        <v>0.0566895059502344</v>
      </c>
      <c r="H30" s="16">
        <f>(E30+F30-C30)/C30</f>
        <v>-0.725518492155582</v>
      </c>
      <c r="I30" s="16">
        <f>AVERAGE(H27:H30)</f>
        <v>-0.752373963042763</v>
      </c>
      <c r="J30" s="16"/>
      <c r="K30" s="16">
        <f>('Cashflow'!E30-'Cashflow'!C30)/'Cashflow'!C30</f>
        <v>-0.694415810443446</v>
      </c>
    </row>
    <row r="31" ht="20.05" customHeight="1">
      <c r="B31" s="27"/>
      <c r="C31" s="13">
        <f>79460.5-SUM(C28:C30)</f>
        <v>21638.1</v>
      </c>
      <c r="D31" s="14">
        <v>21126.742</v>
      </c>
      <c r="E31" s="18">
        <f>8764.7-SUM(E28:E30)</f>
        <v>2012.6</v>
      </c>
      <c r="F31" s="18">
        <f>10608.3-SUM(F28:F30)</f>
        <v>2542.4</v>
      </c>
      <c r="G31" s="12">
        <f>C31/C30-1</f>
        <v>0.0549304289322036</v>
      </c>
      <c r="H31" s="16">
        <f>(E31+F31-C31)/C31</f>
        <v>-0.789491683650598</v>
      </c>
      <c r="I31" s="16">
        <f>AVERAGE(H28:H31)</f>
        <v>-0.7559063042452679</v>
      </c>
      <c r="J31" s="16">
        <f>I31</f>
        <v>-0.7559063042452679</v>
      </c>
      <c r="K31" s="16">
        <f>('Cashflow'!E31-'Cashflow'!C31)/'Cashflow'!C31</f>
        <v>-0.748155103491971</v>
      </c>
    </row>
    <row r="32" ht="20.05" customHeight="1">
      <c r="B32" s="28">
        <v>2022</v>
      </c>
      <c r="C32" s="13"/>
      <c r="D32" s="14">
        <f>'Model'!C6</f>
        <v>21205.338</v>
      </c>
      <c r="E32" s="18"/>
      <c r="F32" s="18"/>
      <c r="G32" s="12"/>
      <c r="H32" s="20"/>
      <c r="I32" s="12"/>
      <c r="J32" s="16">
        <f>'Model'!C7</f>
        <v>-0.7559063042452679</v>
      </c>
      <c r="K32" s="12"/>
    </row>
    <row r="33" ht="20.05" customHeight="1">
      <c r="B33" s="27"/>
      <c r="C33" s="13"/>
      <c r="D33" s="14">
        <f>'Model'!D6</f>
        <v>22689.71166</v>
      </c>
      <c r="E33" s="18"/>
      <c r="F33" s="18"/>
      <c r="G33" s="12"/>
      <c r="H33" s="12"/>
      <c r="I33" s="12"/>
      <c r="J33" s="12"/>
      <c r="K33" s="12"/>
    </row>
    <row r="34" ht="20.05" customHeight="1">
      <c r="B34" s="27"/>
      <c r="C34" s="13"/>
      <c r="D34" s="14">
        <f>'Model'!E6</f>
        <v>23824.197243</v>
      </c>
      <c r="E34" s="18"/>
      <c r="F34" s="18"/>
      <c r="G34" s="12"/>
      <c r="H34" s="12"/>
      <c r="I34" s="12"/>
      <c r="J34" s="12"/>
      <c r="K34" s="12"/>
    </row>
    <row r="35" ht="20.05" customHeight="1">
      <c r="B35" s="27"/>
      <c r="C35" s="13"/>
      <c r="D35" s="14">
        <f>'Model'!F6</f>
        <v>25491.89105001</v>
      </c>
      <c r="E35" s="18"/>
      <c r="F35" s="18"/>
      <c r="G35" s="12"/>
      <c r="H35" s="12"/>
      <c r="I35" s="12"/>
      <c r="J35" s="12"/>
      <c r="K35" s="12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O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79688" style="29" customWidth="1"/>
    <col min="2" max="2" width="9.5" style="29" customWidth="1"/>
    <col min="3" max="5" width="9.67969" style="29" customWidth="1"/>
    <col min="6" max="6" width="11.1953" style="29" customWidth="1"/>
    <col min="7" max="7" width="9.67969" style="29" customWidth="1"/>
    <col min="8" max="15" width="10.4844" style="29" customWidth="1"/>
    <col min="16" max="16384" width="16.3516" style="29" customWidth="1"/>
  </cols>
  <sheetData>
    <row r="1" ht="48.2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2.25" customHeight="1">
      <c r="B3" t="s" s="5">
        <v>1</v>
      </c>
      <c r="C3" t="s" s="5">
        <v>46</v>
      </c>
      <c r="D3" t="s" s="5">
        <v>47</v>
      </c>
      <c r="E3" t="s" s="5">
        <v>48</v>
      </c>
      <c r="F3" t="s" s="5">
        <v>49</v>
      </c>
      <c r="G3" t="s" s="5">
        <v>10</v>
      </c>
      <c r="H3" t="s" s="5">
        <v>50</v>
      </c>
      <c r="I3" t="s" s="5">
        <v>13</v>
      </c>
      <c r="J3" t="s" s="5">
        <v>11</v>
      </c>
      <c r="K3" t="s" s="5">
        <v>51</v>
      </c>
      <c r="L3" t="s" s="5">
        <v>3</v>
      </c>
      <c r="M3" t="s" s="5">
        <v>35</v>
      </c>
      <c r="N3" t="s" s="5">
        <v>30</v>
      </c>
      <c r="O3" t="s" s="5">
        <v>35</v>
      </c>
    </row>
    <row r="4" ht="20.25" customHeight="1">
      <c r="B4" s="23">
        <v>2015</v>
      </c>
      <c r="C4" s="30"/>
      <c r="D4" s="25"/>
      <c r="E4" s="25">
        <v>4438</v>
      </c>
      <c r="F4" s="25">
        <v>-893</v>
      </c>
      <c r="G4" s="25"/>
      <c r="H4" s="25"/>
      <c r="I4" s="25"/>
      <c r="J4" s="25">
        <v>-230</v>
      </c>
      <c r="K4" s="25">
        <f>SUM(D4:G4)</f>
        <v>3545</v>
      </c>
      <c r="L4" s="25"/>
      <c r="M4" s="25"/>
      <c r="N4" s="25">
        <f>-(J4-G4)</f>
        <v>230</v>
      </c>
      <c r="O4" s="25"/>
    </row>
    <row r="5" ht="20.05" customHeight="1">
      <c r="B5" s="27"/>
      <c r="C5" s="17"/>
      <c r="D5" s="18"/>
      <c r="E5" s="18">
        <v>1712</v>
      </c>
      <c r="F5" s="18">
        <v>-2125</v>
      </c>
      <c r="G5" s="18"/>
      <c r="H5" s="18"/>
      <c r="I5" s="18"/>
      <c r="J5" s="18">
        <v>-2555</v>
      </c>
      <c r="K5" s="18">
        <f>SUM(D5:G5)</f>
        <v>-413</v>
      </c>
      <c r="L5" s="18"/>
      <c r="M5" s="18"/>
      <c r="N5" s="18">
        <f>-(J5-G5)+N4</f>
        <v>2785</v>
      </c>
      <c r="O5" s="18"/>
    </row>
    <row r="6" ht="20.05" customHeight="1">
      <c r="B6" s="27"/>
      <c r="C6" s="17"/>
      <c r="D6" s="18"/>
      <c r="E6" s="18">
        <v>3893</v>
      </c>
      <c r="F6" s="18">
        <v>14</v>
      </c>
      <c r="G6" s="18"/>
      <c r="H6" s="18"/>
      <c r="I6" s="18"/>
      <c r="J6" s="18">
        <v>-255</v>
      </c>
      <c r="K6" s="18">
        <f>SUM(D6:G6)</f>
        <v>3907</v>
      </c>
      <c r="L6" s="18"/>
      <c r="M6" s="18"/>
      <c r="N6" s="18">
        <f>-(J6-G6)+N5</f>
        <v>3040</v>
      </c>
      <c r="O6" s="18"/>
    </row>
    <row r="7" ht="20.05" customHeight="1">
      <c r="B7" s="27"/>
      <c r="C7" s="17"/>
      <c r="D7" s="18"/>
      <c r="E7" s="18">
        <v>1996</v>
      </c>
      <c r="F7" s="18">
        <v>-802</v>
      </c>
      <c r="G7" s="18"/>
      <c r="H7" s="18"/>
      <c r="I7" s="18"/>
      <c r="J7" s="18">
        <v>-749</v>
      </c>
      <c r="K7" s="18">
        <f>SUM(D7:G7)</f>
        <v>1194</v>
      </c>
      <c r="L7" s="18"/>
      <c r="M7" s="18"/>
      <c r="N7" s="18">
        <f>-(J7-G7)+N6</f>
        <v>3789</v>
      </c>
      <c r="O7" s="18"/>
    </row>
    <row r="8" ht="20.05" customHeight="1">
      <c r="B8" s="28">
        <v>2016</v>
      </c>
      <c r="C8" s="17"/>
      <c r="D8" s="18"/>
      <c r="E8" s="18">
        <v>1929</v>
      </c>
      <c r="F8" s="18">
        <v>-237</v>
      </c>
      <c r="G8" s="18"/>
      <c r="H8" s="18"/>
      <c r="I8" s="18"/>
      <c r="J8" s="18">
        <v>52</v>
      </c>
      <c r="K8" s="18">
        <f>SUM(D8:G8)</f>
        <v>1692</v>
      </c>
      <c r="L8" s="18">
        <f>AVERAGE(K5:K8)</f>
        <v>1595</v>
      </c>
      <c r="M8" s="18"/>
      <c r="N8" s="18">
        <f>-(J8-G8)+N7</f>
        <v>3737</v>
      </c>
      <c r="O8" s="18"/>
    </row>
    <row r="9" ht="20.05" customHeight="1">
      <c r="B9" s="27"/>
      <c r="C9" s="17"/>
      <c r="D9" s="18"/>
      <c r="E9" s="18">
        <v>46</v>
      </c>
      <c r="F9" s="18">
        <v>100</v>
      </c>
      <c r="G9" s="18"/>
      <c r="H9" s="18"/>
      <c r="I9" s="18"/>
      <c r="J9" s="18">
        <v>-2172</v>
      </c>
      <c r="K9" s="18">
        <f>SUM(D9:G9)</f>
        <v>146</v>
      </c>
      <c r="L9" s="18">
        <f>AVERAGE(K6:K9)</f>
        <v>1734.75</v>
      </c>
      <c r="M9" s="18"/>
      <c r="N9" s="18">
        <f>-(J9-G9)+N8</f>
        <v>5909</v>
      </c>
      <c r="O9" s="18"/>
    </row>
    <row r="10" ht="20.05" customHeight="1">
      <c r="B10" s="27"/>
      <c r="C10" s="17"/>
      <c r="D10" s="18"/>
      <c r="E10" s="18">
        <v>3778</v>
      </c>
      <c r="F10" s="18">
        <v>-617</v>
      </c>
      <c r="G10" s="18"/>
      <c r="H10" s="18"/>
      <c r="I10" s="18"/>
      <c r="J10" s="18">
        <v>-299</v>
      </c>
      <c r="K10" s="18">
        <f>SUM(D10:G10)</f>
        <v>3161</v>
      </c>
      <c r="L10" s="18">
        <f>AVERAGE(K7:K10)</f>
        <v>1548.25</v>
      </c>
      <c r="M10" s="18"/>
      <c r="N10" s="18">
        <f>-(J10-G10)+N9</f>
        <v>6208</v>
      </c>
      <c r="O10" s="18"/>
    </row>
    <row r="11" ht="20.05" customHeight="1">
      <c r="B11" s="27"/>
      <c r="C11" s="17"/>
      <c r="D11" s="18"/>
      <c r="E11" s="18">
        <v>4252</v>
      </c>
      <c r="F11" s="18">
        <v>-1731</v>
      </c>
      <c r="G11" s="18"/>
      <c r="H11" s="18"/>
      <c r="I11" s="18"/>
      <c r="J11" s="18">
        <v>-608</v>
      </c>
      <c r="K11" s="18">
        <f>SUM(D11:G11)</f>
        <v>2521</v>
      </c>
      <c r="L11" s="18">
        <f>AVERAGE(K8:K11)</f>
        <v>1880</v>
      </c>
      <c r="M11" s="18"/>
      <c r="N11" s="18">
        <f>-(J11-G11)+N10</f>
        <v>6816</v>
      </c>
      <c r="O11" s="18"/>
    </row>
    <row r="12" ht="20.05" customHeight="1">
      <c r="B12" s="28">
        <v>2017</v>
      </c>
      <c r="C12" s="17"/>
      <c r="D12" s="18"/>
      <c r="E12" s="18">
        <v>1500</v>
      </c>
      <c r="F12" s="18">
        <v>-3900</v>
      </c>
      <c r="G12" s="18"/>
      <c r="H12" s="18"/>
      <c r="I12" s="18"/>
      <c r="J12" s="18">
        <v>2900</v>
      </c>
      <c r="K12" s="18">
        <f>SUM(D12:G12)</f>
        <v>-2400</v>
      </c>
      <c r="L12" s="18">
        <f>AVERAGE(K9:K12)</f>
        <v>857</v>
      </c>
      <c r="M12" s="18"/>
      <c r="N12" s="18">
        <f>-(J12-G12)+N11</f>
        <v>3916</v>
      </c>
      <c r="O12" s="18"/>
    </row>
    <row r="13" ht="20.05" customHeight="1">
      <c r="B13" s="27"/>
      <c r="C13" s="17"/>
      <c r="D13" s="18"/>
      <c r="E13" s="18">
        <v>5000</v>
      </c>
      <c r="F13" s="18">
        <v>-1400</v>
      </c>
      <c r="G13" s="18"/>
      <c r="H13" s="18"/>
      <c r="I13" s="18"/>
      <c r="J13" s="18">
        <v>-1500</v>
      </c>
      <c r="K13" s="18">
        <f>SUM(D13:G13)</f>
        <v>3600</v>
      </c>
      <c r="L13" s="18">
        <f>AVERAGE(K10:K13)</f>
        <v>1720.5</v>
      </c>
      <c r="M13" s="18"/>
      <c r="N13" s="18">
        <f>-(J13-G13)+N12</f>
        <v>5416</v>
      </c>
      <c r="O13" s="18"/>
    </row>
    <row r="14" ht="20.05" customHeight="1">
      <c r="B14" s="27"/>
      <c r="C14" s="17"/>
      <c r="D14" s="18"/>
      <c r="E14" s="18">
        <v>1400</v>
      </c>
      <c r="F14" s="18">
        <v>-1800</v>
      </c>
      <c r="G14" s="18"/>
      <c r="H14" s="18"/>
      <c r="I14" s="18"/>
      <c r="J14" s="18">
        <v>-1450</v>
      </c>
      <c r="K14" s="18">
        <f>SUM(D14:G14)</f>
        <v>-400</v>
      </c>
      <c r="L14" s="18">
        <f>AVERAGE(K11:K14)</f>
        <v>830.25</v>
      </c>
      <c r="M14" s="18"/>
      <c r="N14" s="18">
        <f>-(J14-G14)+N13</f>
        <v>6866</v>
      </c>
      <c r="O14" s="18"/>
    </row>
    <row r="15" ht="20.05" customHeight="1">
      <c r="B15" s="27"/>
      <c r="C15" s="17"/>
      <c r="D15" s="18"/>
      <c r="E15" s="18">
        <v>4000</v>
      </c>
      <c r="F15" s="18">
        <v>-3800</v>
      </c>
      <c r="G15" s="18"/>
      <c r="H15" s="18"/>
      <c r="I15" s="18"/>
      <c r="J15" s="18">
        <v>350</v>
      </c>
      <c r="K15" s="18">
        <f>SUM(D15:G15)</f>
        <v>200</v>
      </c>
      <c r="L15" s="18">
        <f>AVERAGE(K12:K15)</f>
        <v>250</v>
      </c>
      <c r="M15" s="18"/>
      <c r="N15" s="18">
        <f>-(J15-G15)+N14</f>
        <v>6516</v>
      </c>
      <c r="O15" s="18"/>
    </row>
    <row r="16" ht="20.05" customHeight="1">
      <c r="B16" s="28">
        <v>2018</v>
      </c>
      <c r="C16" s="17"/>
      <c r="D16" s="18"/>
      <c r="E16" s="18">
        <v>300</v>
      </c>
      <c r="F16" s="18">
        <v>-2900</v>
      </c>
      <c r="G16" s="18"/>
      <c r="H16" s="18"/>
      <c r="I16" s="18"/>
      <c r="J16" s="18">
        <v>101</v>
      </c>
      <c r="K16" s="18">
        <f>SUM(D16:G16)</f>
        <v>-2600</v>
      </c>
      <c r="L16" s="18">
        <f>AVERAGE(K13:K16)</f>
        <v>200</v>
      </c>
      <c r="M16" s="18"/>
      <c r="N16" s="18">
        <f>-(J16-G16)+N15</f>
        <v>6415</v>
      </c>
      <c r="O16" s="18"/>
    </row>
    <row r="17" ht="20.05" customHeight="1">
      <c r="B17" s="27"/>
      <c r="C17" s="17"/>
      <c r="D17" s="18"/>
      <c r="E17" s="18">
        <v>2900</v>
      </c>
      <c r="F17" s="18">
        <v>-1900</v>
      </c>
      <c r="G17" s="18"/>
      <c r="H17" s="18"/>
      <c r="I17" s="18"/>
      <c r="J17" s="18">
        <v>-2001</v>
      </c>
      <c r="K17" s="18">
        <f>SUM(D17:G17)</f>
        <v>1000</v>
      </c>
      <c r="L17" s="18">
        <f>AVERAGE(K14:K17)</f>
        <v>-450</v>
      </c>
      <c r="M17" s="18"/>
      <c r="N17" s="18">
        <f>-(J17-G17)+N16</f>
        <v>8416</v>
      </c>
      <c r="O17" s="18"/>
    </row>
    <row r="18" ht="20.05" customHeight="1">
      <c r="B18" s="27"/>
      <c r="C18" s="17"/>
      <c r="D18" s="18"/>
      <c r="E18" s="18">
        <v>10800</v>
      </c>
      <c r="F18" s="18">
        <v>-4200</v>
      </c>
      <c r="G18" s="18"/>
      <c r="H18" s="18"/>
      <c r="I18" s="18"/>
      <c r="J18" s="18">
        <v>4000</v>
      </c>
      <c r="K18" s="18">
        <f>SUM(D18:G18)</f>
        <v>6600</v>
      </c>
      <c r="L18" s="18">
        <f>AVERAGE(K15:K18)</f>
        <v>1300</v>
      </c>
      <c r="M18" s="18"/>
      <c r="N18" s="18">
        <f>-(J18-G18)+N17</f>
        <v>4416</v>
      </c>
      <c r="O18" s="18"/>
    </row>
    <row r="19" ht="20.05" customHeight="1">
      <c r="B19" s="27"/>
      <c r="C19" s="17"/>
      <c r="D19" s="18"/>
      <c r="E19" s="18">
        <v>4900</v>
      </c>
      <c r="F19" s="18">
        <v>-18700</v>
      </c>
      <c r="G19" s="18"/>
      <c r="H19" s="18"/>
      <c r="I19" s="18"/>
      <c r="J19" s="18">
        <v>-1000</v>
      </c>
      <c r="K19" s="18">
        <f>SUM(D19:G19)</f>
        <v>-13800</v>
      </c>
      <c r="L19" s="18">
        <f>AVERAGE(K16:K19)</f>
        <v>-2200</v>
      </c>
      <c r="M19" s="18"/>
      <c r="N19" s="18">
        <f>-(J19-G19)+N18</f>
        <v>5416</v>
      </c>
      <c r="O19" s="18"/>
    </row>
    <row r="20" ht="20.05" customHeight="1">
      <c r="B20" s="28">
        <v>2019</v>
      </c>
      <c r="C20" s="17">
        <v>22509</v>
      </c>
      <c r="D20" s="18"/>
      <c r="E20" s="18">
        <v>2300</v>
      </c>
      <c r="F20" s="18">
        <v>-3500</v>
      </c>
      <c r="G20" s="18">
        <v>-18</v>
      </c>
      <c r="H20" s="18"/>
      <c r="I20" s="18"/>
      <c r="J20" s="18">
        <v>1400</v>
      </c>
      <c r="K20" s="18">
        <f>SUM(D20:G20)</f>
        <v>-1218</v>
      </c>
      <c r="L20" s="18">
        <f>AVERAGE(K17:K20)</f>
        <v>-1854.5</v>
      </c>
      <c r="M20" s="18"/>
      <c r="N20" s="18">
        <f>-(J20-G20)+N19</f>
        <v>3998</v>
      </c>
      <c r="O20" s="18"/>
    </row>
    <row r="21" ht="20.05" customHeight="1">
      <c r="B21" s="27"/>
      <c r="C21" s="17">
        <v>19982</v>
      </c>
      <c r="D21" s="18"/>
      <c r="E21" s="18">
        <v>-200</v>
      </c>
      <c r="F21" s="18">
        <v>-2700</v>
      </c>
      <c r="G21" s="18">
        <v>-39</v>
      </c>
      <c r="H21" s="18"/>
      <c r="I21" s="18"/>
      <c r="J21" s="18">
        <v>1500</v>
      </c>
      <c r="K21" s="18">
        <f>SUM(D21:G21)</f>
        <v>-2939</v>
      </c>
      <c r="L21" s="18">
        <f>AVERAGE(K18:K21)</f>
        <v>-2839.25</v>
      </c>
      <c r="M21" s="18"/>
      <c r="N21" s="18">
        <f>-(J21-G21)+N20</f>
        <v>2459</v>
      </c>
      <c r="O21" s="18"/>
    </row>
    <row r="22" ht="20.05" customHeight="1">
      <c r="B22" s="27"/>
      <c r="C22" s="17">
        <v>21990</v>
      </c>
      <c r="D22" s="18"/>
      <c r="E22" s="18">
        <v>6700</v>
      </c>
      <c r="F22" s="18">
        <v>-1800</v>
      </c>
      <c r="G22" s="18">
        <v>-42</v>
      </c>
      <c r="H22" s="18"/>
      <c r="I22" s="18"/>
      <c r="J22" s="18">
        <v>-1200</v>
      </c>
      <c r="K22" s="18">
        <f>SUM(D22:G22)</f>
        <v>4858</v>
      </c>
      <c r="L22" s="18">
        <f>AVERAGE(K19:K22)</f>
        <v>-3274.75</v>
      </c>
      <c r="M22" s="18"/>
      <c r="N22" s="18">
        <f>-(J22-G22)+N21</f>
        <v>3617</v>
      </c>
      <c r="O22" s="18"/>
    </row>
    <row r="23" ht="20.05" customHeight="1">
      <c r="B23" s="27"/>
      <c r="C23" s="17">
        <v>21313</v>
      </c>
      <c r="D23" s="18"/>
      <c r="E23" s="18">
        <v>600</v>
      </c>
      <c r="F23" s="18">
        <v>-1800</v>
      </c>
      <c r="G23" s="18">
        <v>-39</v>
      </c>
      <c r="H23" s="18"/>
      <c r="I23" s="18"/>
      <c r="J23" s="18">
        <v>-2500</v>
      </c>
      <c r="K23" s="18">
        <f>SUM(D23:G23)</f>
        <v>-1239</v>
      </c>
      <c r="L23" s="18">
        <f>AVERAGE(K20:K23)</f>
        <v>-134.5</v>
      </c>
      <c r="M23" s="18"/>
      <c r="N23" s="18">
        <f>-(J23-G23)+N22</f>
        <v>6078</v>
      </c>
      <c r="O23" s="18"/>
    </row>
    <row r="24" ht="20.05" customHeight="1">
      <c r="B24" s="28">
        <v>2020</v>
      </c>
      <c r="C24" s="17">
        <v>24541</v>
      </c>
      <c r="D24" s="18"/>
      <c r="E24" s="18">
        <v>5900</v>
      </c>
      <c r="F24" s="18">
        <v>-897</v>
      </c>
      <c r="G24" s="18">
        <v>-259</v>
      </c>
      <c r="H24" s="18">
        <f>J24-I24-G24</f>
        <v>-687.1</v>
      </c>
      <c r="I24" s="18">
        <v>10.1</v>
      </c>
      <c r="J24" s="18">
        <v>-936</v>
      </c>
      <c r="K24" s="18">
        <f>SUM(D24:G24)</f>
        <v>4744</v>
      </c>
      <c r="L24" s="18">
        <f>AVERAGE(K21:K24)</f>
        <v>1356</v>
      </c>
      <c r="M24" s="18"/>
      <c r="N24" s="18">
        <f>-(J24-G24)+N23</f>
        <v>6755</v>
      </c>
      <c r="O24" s="18"/>
    </row>
    <row r="25" ht="20.05" customHeight="1">
      <c r="B25" s="27"/>
      <c r="C25" s="17">
        <v>16288</v>
      </c>
      <c r="D25" s="18"/>
      <c r="E25" s="18">
        <v>2874</v>
      </c>
      <c r="F25" s="18">
        <v>-444</v>
      </c>
      <c r="G25" s="18">
        <v>-348</v>
      </c>
      <c r="H25" s="18">
        <f>J25-I25-G25</f>
        <v>-1457.9</v>
      </c>
      <c r="I25" s="18">
        <f>10.1-149.1-I24</f>
        <v>-149.1</v>
      </c>
      <c r="J25" s="18">
        <v>-1955</v>
      </c>
      <c r="K25" s="18">
        <f>SUM(D25:G25)</f>
        <v>2082</v>
      </c>
      <c r="L25" s="18">
        <f>AVERAGE(K22:K25)</f>
        <v>2611.25</v>
      </c>
      <c r="M25" s="18"/>
      <c r="N25" s="18">
        <f>-(J25-G25)+N24</f>
        <v>8362</v>
      </c>
      <c r="O25" s="18"/>
    </row>
    <row r="26" ht="20.05" customHeight="1">
      <c r="B26" s="27"/>
      <c r="C26" s="17">
        <v>14028</v>
      </c>
      <c r="D26" s="18"/>
      <c r="E26" s="18">
        <v>5326</v>
      </c>
      <c r="F26" s="18">
        <v>-559</v>
      </c>
      <c r="G26" s="18">
        <v>-317</v>
      </c>
      <c r="H26" s="18">
        <f>J26-I26-G26</f>
        <v>410.6</v>
      </c>
      <c r="I26" s="18">
        <f>-3001.8-149.1+509.3-SUM(I24:I25)</f>
        <v>-2502.6</v>
      </c>
      <c r="J26" s="18">
        <v>-2409</v>
      </c>
      <c r="K26" s="18">
        <f>SUM(D26:G26)</f>
        <v>4450</v>
      </c>
      <c r="L26" s="18">
        <f>AVERAGE(K23:K26)</f>
        <v>2509.25</v>
      </c>
      <c r="M26" s="18"/>
      <c r="N26" s="18">
        <f>-(J26-G26)+N25</f>
        <v>10454</v>
      </c>
      <c r="O26" s="18"/>
    </row>
    <row r="27" ht="20.05" customHeight="1">
      <c r="B27" s="27"/>
      <c r="C27" s="17">
        <v>13843</v>
      </c>
      <c r="D27" s="18"/>
      <c r="E27" s="18">
        <v>4500</v>
      </c>
      <c r="F27" s="18">
        <v>-700</v>
      </c>
      <c r="G27" s="18">
        <v>-703</v>
      </c>
      <c r="H27" s="18">
        <f>J27-I27-G27</f>
        <v>-1110.3</v>
      </c>
      <c r="I27" s="18">
        <f>-3639.5-198.1+509.3-SUM(I24:I26)</f>
        <v>-686.7</v>
      </c>
      <c r="J27" s="18">
        <v>-2500</v>
      </c>
      <c r="K27" s="18">
        <f>SUM(D27:G27)</f>
        <v>3097</v>
      </c>
      <c r="L27" s="18">
        <f>AVERAGE(K24:K27)</f>
        <v>3593.25</v>
      </c>
      <c r="M27" s="18"/>
      <c r="N27" s="18">
        <f>-(J27-G27)+N26</f>
        <v>12251</v>
      </c>
      <c r="O27" s="18"/>
    </row>
    <row r="28" ht="20.05" customHeight="1">
      <c r="B28" s="28">
        <v>2021</v>
      </c>
      <c r="C28" s="17">
        <v>16800</v>
      </c>
      <c r="D28" s="18">
        <v>-498</v>
      </c>
      <c r="E28" s="18">
        <v>6100</v>
      </c>
      <c r="F28" s="18">
        <v>-500</v>
      </c>
      <c r="G28" s="18">
        <v>-200</v>
      </c>
      <c r="H28" s="18">
        <f>J28-I28-G28</f>
        <v>-32.3</v>
      </c>
      <c r="I28" s="18">
        <v>0</v>
      </c>
      <c r="J28" s="18">
        <v>-232.3</v>
      </c>
      <c r="K28" s="18">
        <f>SUM(D28:E28)</f>
        <v>5602</v>
      </c>
      <c r="L28" s="18">
        <f>AVERAGE(K25:K28)</f>
        <v>3807.75</v>
      </c>
      <c r="M28" s="18"/>
      <c r="N28" s="18">
        <f>-(J28-G28)+N27</f>
        <v>12283.3</v>
      </c>
      <c r="O28" s="18"/>
    </row>
    <row r="29" ht="20.05" customHeight="1">
      <c r="B29" s="27"/>
      <c r="C29" s="17">
        <v>17595</v>
      </c>
      <c r="D29" s="18">
        <v>-498</v>
      </c>
      <c r="E29" s="18">
        <v>5286</v>
      </c>
      <c r="F29" s="18">
        <v>-752</v>
      </c>
      <c r="G29" s="18">
        <v>-283</v>
      </c>
      <c r="H29" s="18">
        <f>J29-I29-G29</f>
        <v>-1203.2</v>
      </c>
      <c r="I29" s="18">
        <f>-1764-70-I28</f>
        <v>-1834</v>
      </c>
      <c r="J29" s="18">
        <f>-3552.5-J28</f>
        <v>-3320.2</v>
      </c>
      <c r="K29" s="18">
        <f>SUM(D29:E29)</f>
        <v>4788</v>
      </c>
      <c r="L29" s="18">
        <f>AVERAGE(K26:K29)</f>
        <v>4484.25</v>
      </c>
      <c r="M29" s="18"/>
      <c r="N29" s="18">
        <f>-(J29-G29)+N28</f>
        <v>15320.5</v>
      </c>
      <c r="O29" s="18"/>
    </row>
    <row r="30" ht="20.05" customHeight="1">
      <c r="B30" s="27"/>
      <c r="C30" s="17">
        <f>55252.1-SUM(C28:C29)</f>
        <v>20857.1</v>
      </c>
      <c r="D30" s="18">
        <f>-3208.7-SUM(D28:D29)</f>
        <v>-2212.7</v>
      </c>
      <c r="E30" s="18">
        <f>17759.6-SUM(E28:E29)</f>
        <v>6373.6</v>
      </c>
      <c r="F30" s="18">
        <f>-2109-SUM(F28:F29)</f>
        <v>-857</v>
      </c>
      <c r="G30" s="18">
        <f>-805.9-SUM(G28:G29)</f>
        <v>-322.9</v>
      </c>
      <c r="H30" s="18">
        <f>J30-I30-G30</f>
        <v>-668.2</v>
      </c>
      <c r="I30" s="18">
        <f>-1764-69.8-20.2-SUM(I28:I29)</f>
        <v>-20</v>
      </c>
      <c r="J30" s="18">
        <f>-4563.6-SUM(J28:J29)</f>
        <v>-1011.1</v>
      </c>
      <c r="K30" s="18">
        <f>SUM(D30:E30)</f>
        <v>4160.9</v>
      </c>
      <c r="L30" s="18">
        <f>AVERAGE(K27:K30)</f>
        <v>4411.975</v>
      </c>
      <c r="M30" s="18"/>
      <c r="N30" s="18">
        <f>-(J30-G30)+N29</f>
        <v>16008.7</v>
      </c>
      <c r="O30" s="18"/>
    </row>
    <row r="31" ht="20.05" customHeight="1">
      <c r="B31" s="27"/>
      <c r="C31" s="17">
        <f>77191-SUM(C28:C30)</f>
        <v>21938.9</v>
      </c>
      <c r="D31" s="20"/>
      <c r="E31" s="18">
        <f>23284.8-SUM(E28:E30)</f>
        <v>5525.2</v>
      </c>
      <c r="F31" s="18">
        <f>-3159-SUM(F28:F30)</f>
        <v>-1050</v>
      </c>
      <c r="G31" s="18">
        <f>-1060.1-SUM(G28:G30)</f>
        <v>-254.2</v>
      </c>
      <c r="H31" s="18">
        <f>J31-I31-G31</f>
        <v>-1183.4</v>
      </c>
      <c r="I31" s="18">
        <f>-3013.1-239.2-20.3-SUM(I28:I30)</f>
        <v>-1418.6</v>
      </c>
      <c r="J31" s="18">
        <f>-7419.8-SUM(J28:J30)</f>
        <v>-2856.2</v>
      </c>
      <c r="K31" s="18">
        <f>SUM(D31:E31)</f>
        <v>5525.2</v>
      </c>
      <c r="L31" s="18">
        <f>AVERAGE(K28:K31)</f>
        <v>5019.025</v>
      </c>
      <c r="M31" s="18">
        <f>L31</f>
        <v>5019.025</v>
      </c>
      <c r="N31" s="18">
        <f>-(J31-G31)+N30</f>
        <v>18610.7</v>
      </c>
      <c r="O31" s="18">
        <f>N31</f>
        <v>18610.7</v>
      </c>
    </row>
    <row r="32" ht="20.05" customHeight="1">
      <c r="B32" s="28">
        <v>2022</v>
      </c>
      <c r="C32" s="31"/>
      <c r="D32" s="20"/>
      <c r="E32" s="20"/>
      <c r="F32" s="20"/>
      <c r="G32" s="20"/>
      <c r="H32" s="20"/>
      <c r="I32" s="20"/>
      <c r="J32" s="20"/>
      <c r="K32" s="18"/>
      <c r="L32" s="20"/>
      <c r="M32" s="18">
        <f>SUM('Model'!F9:F10)</f>
        <v>5172.4098981739</v>
      </c>
      <c r="N32" s="20"/>
      <c r="O32" s="18">
        <f>'Model'!F33</f>
        <v>32501.4699617273</v>
      </c>
    </row>
  </sheetData>
  <mergeCells count="1">
    <mergeCell ref="B2:O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65625" style="32" customWidth="1"/>
    <col min="2" max="2" width="9.53125" style="32" customWidth="1"/>
    <col min="3" max="11" width="9.98438" style="32" customWidth="1"/>
    <col min="12" max="16384" width="16.3516" style="32" customWidth="1"/>
  </cols>
  <sheetData>
    <row r="1" ht="29.7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52</v>
      </c>
      <c r="D3" t="s" s="5">
        <v>53</v>
      </c>
      <c r="E3" t="s" s="5">
        <v>23</v>
      </c>
      <c r="F3" t="s" s="5">
        <v>24</v>
      </c>
      <c r="G3" t="s" s="5">
        <v>12</v>
      </c>
      <c r="H3" t="s" s="5">
        <v>26</v>
      </c>
      <c r="I3" t="s" s="5">
        <v>54</v>
      </c>
      <c r="J3" t="s" s="5">
        <v>55</v>
      </c>
      <c r="K3" t="s" s="5">
        <v>35</v>
      </c>
    </row>
    <row r="4" ht="20.25" customHeight="1">
      <c r="B4" s="23">
        <v>2015</v>
      </c>
      <c r="C4" s="30">
        <v>13843</v>
      </c>
      <c r="D4" s="25">
        <v>65022</v>
      </c>
      <c r="E4" s="25">
        <f>D4-C4</f>
        <v>51179</v>
      </c>
      <c r="F4" s="25">
        <v>24048</v>
      </c>
      <c r="G4" s="25">
        <v>24042</v>
      </c>
      <c r="H4" s="25">
        <v>40980</v>
      </c>
      <c r="I4" s="25">
        <f>G4+H4-C4-E4</f>
        <v>0</v>
      </c>
      <c r="J4" s="25">
        <f>C4-G4</f>
        <v>-10199</v>
      </c>
      <c r="K4" s="25"/>
    </row>
    <row r="5" ht="20.05" customHeight="1">
      <c r="B5" s="27"/>
      <c r="C5" s="17">
        <v>11015</v>
      </c>
      <c r="D5" s="18">
        <v>63820</v>
      </c>
      <c r="E5" s="18">
        <f>D5-C5</f>
        <v>52805</v>
      </c>
      <c r="F5" s="18">
        <v>24861</v>
      </c>
      <c r="G5" s="18">
        <v>23124</v>
      </c>
      <c r="H5" s="18">
        <v>40697</v>
      </c>
      <c r="I5" s="18">
        <f>G5+H5-C5-E5</f>
        <v>1</v>
      </c>
      <c r="J5" s="18">
        <f>C5-G5</f>
        <v>-12109</v>
      </c>
      <c r="K5" s="18"/>
    </row>
    <row r="6" ht="20.05" customHeight="1">
      <c r="B6" s="27"/>
      <c r="C6" s="17">
        <v>15929</v>
      </c>
      <c r="D6" s="18">
        <v>70902</v>
      </c>
      <c r="E6" s="18">
        <f>D6-C6</f>
        <v>54973</v>
      </c>
      <c r="F6" s="18">
        <v>25782</v>
      </c>
      <c r="G6" s="18">
        <v>28380</v>
      </c>
      <c r="H6" s="18">
        <v>42522</v>
      </c>
      <c r="I6" s="18">
        <f>G6+H6-C6-E6</f>
        <v>0</v>
      </c>
      <c r="J6" s="18">
        <f>C6-G6</f>
        <v>-12451</v>
      </c>
      <c r="K6" s="18"/>
    </row>
    <row r="7" ht="20.05" customHeight="1">
      <c r="B7" s="27"/>
      <c r="C7" s="17">
        <v>15413</v>
      </c>
      <c r="D7" s="18">
        <v>61716</v>
      </c>
      <c r="E7" s="18">
        <f>D7-C7</f>
        <v>46303</v>
      </c>
      <c r="F7" s="18">
        <v>26557</v>
      </c>
      <c r="G7" s="18">
        <v>22465</v>
      </c>
      <c r="H7" s="18">
        <v>39251</v>
      </c>
      <c r="I7" s="18">
        <f>G7+H7-C7-E7</f>
        <v>0</v>
      </c>
      <c r="J7" s="18">
        <f>C7-G7</f>
        <v>-7052</v>
      </c>
      <c r="K7" s="18"/>
    </row>
    <row r="8" ht="20.05" customHeight="1">
      <c r="B8" s="28">
        <v>2016</v>
      </c>
      <c r="C8" s="17">
        <v>16640</v>
      </c>
      <c r="D8" s="18">
        <v>61884</v>
      </c>
      <c r="E8" s="18">
        <f>D8-C8</f>
        <v>45244</v>
      </c>
      <c r="F8" s="18">
        <v>27094</v>
      </c>
      <c r="G8" s="18">
        <v>22046</v>
      </c>
      <c r="H8" s="18">
        <v>39839</v>
      </c>
      <c r="I8" s="18">
        <f>G8+H8-C8-E8</f>
        <v>1</v>
      </c>
      <c r="J8" s="18">
        <f>C8-G8</f>
        <v>-5406</v>
      </c>
      <c r="K8" s="18"/>
    </row>
    <row r="9" ht="20.05" customHeight="1">
      <c r="B9" s="27"/>
      <c r="C9" s="17">
        <v>14609</v>
      </c>
      <c r="D9" s="18">
        <v>58990</v>
      </c>
      <c r="E9" s="18">
        <f>D9-C9</f>
        <v>44381</v>
      </c>
      <c r="F9" s="18">
        <v>27723</v>
      </c>
      <c r="G9" s="18">
        <v>19378</v>
      </c>
      <c r="H9" s="18">
        <v>39613</v>
      </c>
      <c r="I9" s="18">
        <f>G9+H9-C9-E9</f>
        <v>1</v>
      </c>
      <c r="J9" s="18">
        <f>C9-G9</f>
        <v>-4769</v>
      </c>
      <c r="K9" s="18"/>
    </row>
    <row r="10" ht="20.05" customHeight="1">
      <c r="B10" s="27"/>
      <c r="C10" s="17">
        <v>17334</v>
      </c>
      <c r="D10" s="18">
        <v>60899</v>
      </c>
      <c r="E10" s="18">
        <f>D10-C10</f>
        <v>43565</v>
      </c>
      <c r="F10" s="18">
        <v>28371</v>
      </c>
      <c r="G10" s="18">
        <v>20703</v>
      </c>
      <c r="H10" s="18">
        <v>40196</v>
      </c>
      <c r="I10" s="18">
        <f>G10+H10-C10-E10</f>
        <v>0</v>
      </c>
      <c r="J10" s="18">
        <f>C10-G10</f>
        <v>-3369</v>
      </c>
      <c r="K10" s="18"/>
    </row>
    <row r="11" ht="20.05" customHeight="1">
      <c r="B11" s="27"/>
      <c r="C11" s="17">
        <v>19461</v>
      </c>
      <c r="D11" s="18">
        <v>63991</v>
      </c>
      <c r="E11" s="18">
        <f>D11-C11</f>
        <v>44530</v>
      </c>
      <c r="F11" s="18">
        <v>29002</v>
      </c>
      <c r="G11" s="18">
        <v>21369</v>
      </c>
      <c r="H11" s="18">
        <v>42622</v>
      </c>
      <c r="I11" s="18">
        <f>G11+H11-C11-E11</f>
        <v>0</v>
      </c>
      <c r="J11" s="18">
        <f>C11-G11</f>
        <v>-1908</v>
      </c>
      <c r="K11" s="18"/>
    </row>
    <row r="12" ht="20.05" customHeight="1">
      <c r="B12" s="28">
        <v>2017</v>
      </c>
      <c r="C12" s="17">
        <v>19967</v>
      </c>
      <c r="D12" s="18">
        <v>74292</v>
      </c>
      <c r="E12" s="18">
        <f>D12-C12</f>
        <v>54325</v>
      </c>
      <c r="F12" s="18">
        <v>29786</v>
      </c>
      <c r="G12" s="18">
        <v>30039</v>
      </c>
      <c r="H12" s="18">
        <v>44254</v>
      </c>
      <c r="I12" s="18">
        <f>G12+H12-C12-E12</f>
        <v>1</v>
      </c>
      <c r="J12" s="18">
        <f>C12-G12</f>
        <v>-10072</v>
      </c>
      <c r="K12" s="18"/>
    </row>
    <row r="13" ht="20.05" customHeight="1">
      <c r="B13" s="27"/>
      <c r="C13" s="17">
        <v>22112</v>
      </c>
      <c r="D13" s="18">
        <v>78258</v>
      </c>
      <c r="E13" s="18">
        <f>D13-C13</f>
        <v>56146</v>
      </c>
      <c r="F13" s="18">
        <v>30439</v>
      </c>
      <c r="G13" s="18">
        <v>33494</v>
      </c>
      <c r="H13" s="18">
        <v>44764</v>
      </c>
      <c r="I13" s="18">
        <f>G13+H13-C13-E13</f>
        <v>0</v>
      </c>
      <c r="J13" s="18">
        <f>C13-G13</f>
        <v>-11382</v>
      </c>
      <c r="K13" s="18"/>
    </row>
    <row r="14" ht="20.05" customHeight="1">
      <c r="B14" s="27"/>
      <c r="C14" s="17">
        <v>20266</v>
      </c>
      <c r="D14" s="18">
        <v>79698</v>
      </c>
      <c r="E14" s="18">
        <f>D14-C14</f>
        <v>59432</v>
      </c>
      <c r="F14" s="18">
        <v>31202</v>
      </c>
      <c r="G14" s="18">
        <v>33585</v>
      </c>
      <c r="H14" s="18">
        <v>46113</v>
      </c>
      <c r="I14" s="18">
        <f>G14+H14-C14-E14</f>
        <v>0</v>
      </c>
      <c r="J14" s="18">
        <f>C14-G14</f>
        <v>-13319</v>
      </c>
      <c r="K14" s="18"/>
    </row>
    <row r="15" ht="20.05" customHeight="1">
      <c r="B15" s="27"/>
      <c r="C15" s="17">
        <v>20831</v>
      </c>
      <c r="D15" s="18">
        <v>82262</v>
      </c>
      <c r="E15" s="18">
        <f>D15-C15</f>
        <v>61431</v>
      </c>
      <c r="F15" s="18">
        <v>32083</v>
      </c>
      <c r="G15" s="18">
        <v>34724</v>
      </c>
      <c r="H15" s="18">
        <v>47538</v>
      </c>
      <c r="I15" s="18">
        <f>G15+H15-C15-E15</f>
        <v>0</v>
      </c>
      <c r="J15" s="18">
        <f>C15-G15</f>
        <v>-13893</v>
      </c>
      <c r="K15" s="18"/>
    </row>
    <row r="16" ht="20.05" customHeight="1">
      <c r="B16" s="28">
        <v>2018</v>
      </c>
      <c r="C16" s="17">
        <v>18422</v>
      </c>
      <c r="D16" s="18">
        <v>84438</v>
      </c>
      <c r="E16" s="18">
        <f>D16-C16</f>
        <v>66016</v>
      </c>
      <c r="F16" s="18">
        <v>32996</v>
      </c>
      <c r="G16" s="18">
        <v>33666</v>
      </c>
      <c r="H16" s="18">
        <v>50772</v>
      </c>
      <c r="I16" s="18">
        <f>G16+H16-C16-E16</f>
        <v>0</v>
      </c>
      <c r="J16" s="18">
        <f>C16-G16</f>
        <v>-15244</v>
      </c>
      <c r="K16" s="18"/>
    </row>
    <row r="17" ht="20.05" customHeight="1">
      <c r="B17" s="27"/>
      <c r="C17" s="17">
        <v>17512</v>
      </c>
      <c r="D17" s="18">
        <v>88843</v>
      </c>
      <c r="E17" s="18">
        <f>D17-C17</f>
        <v>71331</v>
      </c>
      <c r="F17" s="18">
        <v>33736</v>
      </c>
      <c r="G17" s="18">
        <v>37178</v>
      </c>
      <c r="H17" s="18">
        <v>51665</v>
      </c>
      <c r="I17" s="18">
        <f>G17+H17-C17-E17</f>
        <v>0</v>
      </c>
      <c r="J17" s="18">
        <f>C17-G17</f>
        <v>-19666</v>
      </c>
      <c r="K17" s="18"/>
    </row>
    <row r="18" ht="20.05" customHeight="1">
      <c r="B18" s="27"/>
      <c r="C18" s="17">
        <v>28615</v>
      </c>
      <c r="D18" s="18">
        <v>107579</v>
      </c>
      <c r="E18" s="18">
        <f>D18-C18</f>
        <v>78964</v>
      </c>
      <c r="F18" s="18">
        <v>34816</v>
      </c>
      <c r="G18" s="18">
        <v>53100</v>
      </c>
      <c r="H18" s="18">
        <v>54479</v>
      </c>
      <c r="I18" s="18">
        <f>G18+H18-C18-E18</f>
        <v>0</v>
      </c>
      <c r="J18" s="18">
        <f>C18-G18</f>
        <v>-24485</v>
      </c>
      <c r="K18" s="18"/>
    </row>
    <row r="19" ht="20.05" customHeight="1">
      <c r="B19" s="27"/>
      <c r="C19" s="17">
        <v>13438</v>
      </c>
      <c r="D19" s="18">
        <v>116281</v>
      </c>
      <c r="E19" s="18">
        <f>D19-C19</f>
        <v>102843</v>
      </c>
      <c r="F19" s="18">
        <v>38589</v>
      </c>
      <c r="G19" s="18">
        <v>59230</v>
      </c>
      <c r="H19" s="18">
        <v>57051</v>
      </c>
      <c r="I19" s="18">
        <f>G19+H19-C19-E19</f>
        <v>0</v>
      </c>
      <c r="J19" s="18">
        <f>C19-G19</f>
        <v>-45792</v>
      </c>
      <c r="K19" s="18"/>
    </row>
    <row r="20" ht="20.05" customHeight="1">
      <c r="B20" s="28">
        <v>2019</v>
      </c>
      <c r="C20" s="17">
        <v>13682</v>
      </c>
      <c r="D20" s="18">
        <v>116925</v>
      </c>
      <c r="E20" s="18">
        <f>D20-C20</f>
        <v>103243</v>
      </c>
      <c r="F20" s="18">
        <v>39830</v>
      </c>
      <c r="G20" s="18">
        <v>57164</v>
      </c>
      <c r="H20" s="18">
        <v>59761</v>
      </c>
      <c r="I20" s="18">
        <f>G20+H20-C20-E20</f>
        <v>0</v>
      </c>
      <c r="J20" s="18">
        <f>C20-G20</f>
        <v>-43482</v>
      </c>
      <c r="K20" s="18"/>
    </row>
    <row r="21" ht="20.05" customHeight="1">
      <c r="B21" s="27"/>
      <c r="C21" s="17">
        <v>12226</v>
      </c>
      <c r="D21" s="18">
        <v>118272</v>
      </c>
      <c r="E21" s="18">
        <f>D21-C21</f>
        <v>106046</v>
      </c>
      <c r="F21" s="18">
        <v>41320</v>
      </c>
      <c r="G21" s="18">
        <v>60196</v>
      </c>
      <c r="H21" s="18">
        <v>58076</v>
      </c>
      <c r="I21" s="18">
        <f>G21+H21-C21-E21</f>
        <v>0</v>
      </c>
      <c r="J21" s="18">
        <f>C21-G21</f>
        <v>-47970</v>
      </c>
      <c r="K21" s="18"/>
    </row>
    <row r="22" ht="20.05" customHeight="1">
      <c r="B22" s="27"/>
      <c r="C22" s="17">
        <v>15978</v>
      </c>
      <c r="D22" s="18">
        <v>119338</v>
      </c>
      <c r="E22" s="18">
        <f>D22-C22</f>
        <v>103360</v>
      </c>
      <c r="F22" s="18">
        <v>43284</v>
      </c>
      <c r="G22" s="18">
        <v>60326</v>
      </c>
      <c r="H22" s="18">
        <v>59012</v>
      </c>
      <c r="I22" s="18">
        <f>G22+H22-C22-E22</f>
        <v>0</v>
      </c>
      <c r="J22" s="18">
        <f>C22-G22</f>
        <v>-44348</v>
      </c>
      <c r="K22" s="18"/>
    </row>
    <row r="23" ht="20.05" customHeight="1">
      <c r="B23" s="27"/>
      <c r="C23" s="17">
        <v>12000</v>
      </c>
      <c r="D23" s="18">
        <v>112000</v>
      </c>
      <c r="E23" s="18">
        <f>D23-C23</f>
        <v>100000</v>
      </c>
      <c r="F23" s="18">
        <v>44532</v>
      </c>
      <c r="G23" s="18">
        <v>51000</v>
      </c>
      <c r="H23" s="18">
        <v>61000</v>
      </c>
      <c r="I23" s="18">
        <f>G23+H23-C23-E23</f>
        <v>0</v>
      </c>
      <c r="J23" s="18">
        <f>C23-G23</f>
        <v>-39000</v>
      </c>
      <c r="K23" s="18"/>
    </row>
    <row r="24" ht="20.05" customHeight="1">
      <c r="B24" s="28">
        <v>2020</v>
      </c>
      <c r="C24" s="17">
        <v>17082</v>
      </c>
      <c r="D24" s="18">
        <v>114855</v>
      </c>
      <c r="E24" s="18">
        <f>D24-C24</f>
        <v>97773</v>
      </c>
      <c r="F24" s="18">
        <v>47700</v>
      </c>
      <c r="G24" s="18">
        <v>48500</v>
      </c>
      <c r="H24" s="18">
        <v>66400</v>
      </c>
      <c r="I24" s="18">
        <f>G24+H24-C24-E24</f>
        <v>45</v>
      </c>
      <c r="J24" s="18">
        <f>C24-G24</f>
        <v>-31418</v>
      </c>
      <c r="K24" s="18"/>
    </row>
    <row r="25" ht="20.05" customHeight="1">
      <c r="B25" s="27"/>
      <c r="C25" s="17">
        <v>16930</v>
      </c>
      <c r="D25" s="18">
        <v>104221</v>
      </c>
      <c r="E25" s="18">
        <f>D25-C25</f>
        <v>87291</v>
      </c>
      <c r="F25" s="18">
        <v>48896</v>
      </c>
      <c r="G25" s="18">
        <v>42638</v>
      </c>
      <c r="H25" s="18">
        <v>61583</v>
      </c>
      <c r="I25" s="18">
        <f>G25+H25-C25-E25</f>
        <v>0</v>
      </c>
      <c r="J25" s="18">
        <f>C25-G25</f>
        <v>-25708</v>
      </c>
      <c r="K25" s="18"/>
    </row>
    <row r="26" ht="20.05" customHeight="1">
      <c r="B26" s="27"/>
      <c r="C26" s="17">
        <v>19000</v>
      </c>
      <c r="D26" s="18">
        <v>104000</v>
      </c>
      <c r="E26" s="18">
        <f>D26-C26</f>
        <v>85000</v>
      </c>
      <c r="F26" s="18">
        <v>50748</v>
      </c>
      <c r="G26" s="18">
        <v>40000</v>
      </c>
      <c r="H26" s="18">
        <v>64000</v>
      </c>
      <c r="I26" s="18">
        <f>G26+H26-C26-E26</f>
        <v>0</v>
      </c>
      <c r="J26" s="18">
        <f>C26-G26</f>
        <v>-21000</v>
      </c>
      <c r="K26" s="18"/>
    </row>
    <row r="27" ht="20.05" customHeight="1">
      <c r="B27" s="27"/>
      <c r="C27" s="17">
        <v>20000</v>
      </c>
      <c r="D27" s="18">
        <v>100000</v>
      </c>
      <c r="E27" s="18">
        <f>D27-C27</f>
        <v>80000</v>
      </c>
      <c r="F27" s="18">
        <v>52000</v>
      </c>
      <c r="G27" s="18">
        <v>37000</v>
      </c>
      <c r="H27" s="18">
        <v>63000</v>
      </c>
      <c r="I27" s="18">
        <f>G27+H27-C27-E27</f>
        <v>0</v>
      </c>
      <c r="J27" s="18">
        <f>C27-G27</f>
        <v>-17000</v>
      </c>
      <c r="K27" s="18"/>
    </row>
    <row r="28" ht="20.05" customHeight="1">
      <c r="B28" s="28">
        <v>2021</v>
      </c>
      <c r="C28" s="17">
        <v>26000</v>
      </c>
      <c r="D28" s="18">
        <v>105000</v>
      </c>
      <c r="E28" s="18">
        <f>D28-C28</f>
        <v>79000</v>
      </c>
      <c r="F28" s="18">
        <v>53000</v>
      </c>
      <c r="G28" s="18">
        <v>38000</v>
      </c>
      <c r="H28" s="18">
        <v>67000</v>
      </c>
      <c r="I28" s="18">
        <f>G28+H28-C28-E28</f>
        <v>0</v>
      </c>
      <c r="J28" s="18">
        <f>C28-G28</f>
        <v>-12000</v>
      </c>
      <c r="K28" s="18"/>
    </row>
    <row r="29" ht="20.05" customHeight="1">
      <c r="B29" s="27"/>
      <c r="C29" s="17">
        <v>27231</v>
      </c>
      <c r="D29" s="18">
        <v>106860</v>
      </c>
      <c r="E29" s="18">
        <f>D29-C29</f>
        <v>79629</v>
      </c>
      <c r="F29" s="18">
        <f>F28+'Sales'!E29</f>
        <v>55249.5</v>
      </c>
      <c r="G29" s="18">
        <v>39206</v>
      </c>
      <c r="H29" s="18">
        <v>67654</v>
      </c>
      <c r="I29" s="18">
        <f>G29+H29-C29-E29</f>
        <v>0</v>
      </c>
      <c r="J29" s="18">
        <f>C29-G29</f>
        <v>-11975</v>
      </c>
      <c r="K29" s="18"/>
    </row>
    <row r="30" ht="20.05" customHeight="1">
      <c r="B30" s="27"/>
      <c r="C30" s="17">
        <v>31628</v>
      </c>
      <c r="D30" s="18">
        <v>110693</v>
      </c>
      <c r="E30" s="18">
        <f>D30-C30</f>
        <v>79065</v>
      </c>
      <c r="F30" s="18">
        <f>F29+'Sales'!E30</f>
        <v>57502.6</v>
      </c>
      <c r="G30" s="18">
        <v>41228</v>
      </c>
      <c r="H30" s="18">
        <v>69465</v>
      </c>
      <c r="I30" s="18">
        <f>G30+H30-C30-E30</f>
        <v>0</v>
      </c>
      <c r="J30" s="18">
        <f>C30-G30</f>
        <v>-9600</v>
      </c>
      <c r="K30" s="18">
        <f>J30</f>
        <v>-9600</v>
      </c>
    </row>
    <row r="31" ht="20.05" customHeight="1">
      <c r="B31" s="27"/>
      <c r="C31" s="17">
        <v>33322</v>
      </c>
      <c r="D31" s="18">
        <v>112561</v>
      </c>
      <c r="E31" s="18">
        <f>D31-C31</f>
        <v>79239</v>
      </c>
      <c r="F31" s="18">
        <f>50739+818+6169+7640</f>
        <v>65366</v>
      </c>
      <c r="G31" s="18">
        <v>40738</v>
      </c>
      <c r="H31" s="18">
        <v>71823</v>
      </c>
      <c r="I31" s="18">
        <f>G31+H31-C31-E31</f>
        <v>0</v>
      </c>
      <c r="J31" s="18">
        <f>C31-G31</f>
        <v>-7416</v>
      </c>
      <c r="K31" s="18">
        <f>J31</f>
        <v>-7416</v>
      </c>
    </row>
    <row r="32" ht="20.05" customHeight="1">
      <c r="B32" s="28">
        <v>2022</v>
      </c>
      <c r="C32" s="17"/>
      <c r="D32" s="18"/>
      <c r="E32" s="18"/>
      <c r="F32" s="18"/>
      <c r="G32" s="18"/>
      <c r="H32" s="18"/>
      <c r="I32" s="18"/>
      <c r="J32" s="18"/>
      <c r="K32" s="18">
        <f>'Model'!F31</f>
        <v>3785.3255742273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9" style="33" customWidth="1"/>
    <col min="2" max="2" width="5.26562" style="33" customWidth="1"/>
    <col min="3" max="5" width="11.0547" style="33" customWidth="1"/>
    <col min="6" max="16384" width="16.3516" style="33" customWidth="1"/>
  </cols>
  <sheetData>
    <row r="1" ht="34" customHeight="1"/>
    <row r="2" ht="28.65" customHeight="1">
      <c r="B2" t="s" s="34">
        <v>56</v>
      </c>
      <c r="C2" s="34"/>
      <c r="D2" s="34"/>
      <c r="E2" s="34"/>
    </row>
    <row r="3" ht="20.25" customHeight="1">
      <c r="B3" s="4"/>
      <c r="C3" t="s" s="35">
        <v>56</v>
      </c>
      <c r="D3" t="s" s="35">
        <v>57</v>
      </c>
      <c r="E3" t="s" s="35">
        <v>58</v>
      </c>
    </row>
    <row r="4" ht="20.25" customHeight="1">
      <c r="B4" s="23">
        <v>2018</v>
      </c>
      <c r="C4" s="30">
        <v>32000</v>
      </c>
      <c r="D4" s="25"/>
      <c r="E4" s="25"/>
    </row>
    <row r="5" ht="20.05" customHeight="1">
      <c r="B5" s="27"/>
      <c r="C5" s="17">
        <v>31600</v>
      </c>
      <c r="D5" s="18"/>
      <c r="E5" s="18"/>
    </row>
    <row r="6" ht="20.05" customHeight="1">
      <c r="B6" s="27"/>
      <c r="C6" s="17">
        <v>33000</v>
      </c>
      <c r="D6" s="18"/>
      <c r="E6" s="18"/>
    </row>
    <row r="7" ht="20.05" customHeight="1">
      <c r="B7" s="27"/>
      <c r="C7" s="17">
        <v>27350</v>
      </c>
      <c r="D7" s="18"/>
      <c r="E7" s="18"/>
    </row>
    <row r="8" ht="20.05" customHeight="1">
      <c r="B8" s="28">
        <v>2019</v>
      </c>
      <c r="C8" s="17">
        <v>27050</v>
      </c>
      <c r="D8" s="18"/>
      <c r="E8" s="18"/>
    </row>
    <row r="9" ht="20.05" customHeight="1">
      <c r="B9" s="27"/>
      <c r="C9" s="17">
        <v>28200</v>
      </c>
      <c r="D9" s="18"/>
      <c r="E9" s="18"/>
    </row>
    <row r="10" ht="20.05" customHeight="1">
      <c r="B10" s="27"/>
      <c r="C10" s="17">
        <v>20575</v>
      </c>
      <c r="D10" s="18"/>
      <c r="E10" s="18"/>
    </row>
    <row r="11" ht="20.05" customHeight="1">
      <c r="B11" s="27"/>
      <c r="C11" s="17">
        <v>21525</v>
      </c>
      <c r="D11" s="20"/>
      <c r="E11" s="20"/>
    </row>
    <row r="12" ht="20.05" customHeight="1">
      <c r="B12" s="28">
        <v>2020</v>
      </c>
      <c r="C12" s="17">
        <v>16900</v>
      </c>
      <c r="D12" s="20"/>
      <c r="E12" s="20"/>
    </row>
    <row r="13" ht="20.05" customHeight="1">
      <c r="B13" s="27"/>
      <c r="C13" s="17">
        <v>16550</v>
      </c>
      <c r="D13" s="20"/>
      <c r="E13" s="20"/>
    </row>
    <row r="14" ht="20.05" customHeight="1">
      <c r="B14" s="27"/>
      <c r="C14" s="17">
        <v>22800</v>
      </c>
      <c r="D14" s="20"/>
      <c r="E14" s="20"/>
    </row>
    <row r="15" ht="20.05" customHeight="1">
      <c r="B15" s="27"/>
      <c r="C15" s="17">
        <v>26600</v>
      </c>
      <c r="D15" s="20"/>
      <c r="E15" s="20"/>
    </row>
    <row r="16" ht="20.05" customHeight="1">
      <c r="B16" s="28">
        <v>2021</v>
      </c>
      <c r="C16" s="17">
        <v>21653.599609</v>
      </c>
      <c r="D16" s="20"/>
      <c r="E16" s="20"/>
    </row>
    <row r="17" ht="20.05" customHeight="1">
      <c r="B17" s="27"/>
      <c r="C17" s="17">
        <v>20250</v>
      </c>
      <c r="D17" s="20"/>
      <c r="E17" s="20"/>
    </row>
    <row r="18" ht="20.05" customHeight="1">
      <c r="B18" s="27"/>
      <c r="C18" s="17">
        <v>26000</v>
      </c>
      <c r="D18" s="20"/>
      <c r="E18" s="18">
        <v>59240.3578387936</v>
      </c>
    </row>
    <row r="19" ht="20.05" customHeight="1">
      <c r="B19" s="27"/>
      <c r="C19" s="17">
        <v>22150</v>
      </c>
      <c r="D19" s="20"/>
      <c r="E19" s="18">
        <v>59240.3578387936</v>
      </c>
    </row>
    <row r="20" ht="20.05" customHeight="1">
      <c r="B20" s="28">
        <v>2022</v>
      </c>
      <c r="C20" s="17">
        <v>24900</v>
      </c>
      <c r="D20" s="18">
        <f>C20</f>
        <v>24900</v>
      </c>
      <c r="E20" s="18">
        <v>62636.3019187245</v>
      </c>
    </row>
    <row r="21" ht="20.05" customHeight="1">
      <c r="B21" s="27"/>
      <c r="C21" s="17"/>
      <c r="D21" s="18">
        <f>'Model'!F43</f>
        <v>47010.4149005722</v>
      </c>
      <c r="E21" s="20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H2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8" width="10.8672" style="36" customWidth="1"/>
    <col min="9" max="16384" width="16.3516" style="36" customWidth="1"/>
  </cols>
  <sheetData>
    <row r="1" ht="27.65" customHeight="1">
      <c r="A1" t="s" s="2">
        <v>59</v>
      </c>
      <c r="B1" s="2"/>
      <c r="C1" s="2"/>
      <c r="D1" s="2"/>
      <c r="E1" s="2"/>
      <c r="F1" s="2"/>
      <c r="G1" s="2"/>
      <c r="H1" s="2"/>
    </row>
    <row r="2" ht="20.25" customHeight="1">
      <c r="A2" s="37"/>
      <c r="B2" t="s" s="5">
        <v>12</v>
      </c>
      <c r="C2" t="s" s="5">
        <v>26</v>
      </c>
      <c r="D2" t="s" s="5">
        <v>60</v>
      </c>
      <c r="E2" t="s" s="5">
        <v>12</v>
      </c>
      <c r="F2" t="s" s="5">
        <v>26</v>
      </c>
      <c r="G2" t="s" s="5">
        <v>60</v>
      </c>
      <c r="H2" t="s" s="35">
        <v>61</v>
      </c>
    </row>
    <row r="3" ht="20.25" customHeight="1">
      <c r="A3" s="23">
        <v>2003</v>
      </c>
      <c r="B3" s="30">
        <f>11.795+25.605-121.854</f>
        <v>-84.45399999999999</v>
      </c>
      <c r="C3" s="25">
        <f>11.296-1.372</f>
        <v>9.923999999999999</v>
      </c>
      <c r="D3" s="25">
        <f>SUM(B3:C3)</f>
        <v>-74.53</v>
      </c>
      <c r="E3" s="25">
        <f>B3</f>
        <v>-84.45399999999999</v>
      </c>
      <c r="F3" s="25">
        <f>C3</f>
        <v>9.923999999999999</v>
      </c>
      <c r="G3" s="25">
        <f>D3</f>
        <v>-74.53</v>
      </c>
      <c r="H3" s="38">
        <v>4</v>
      </c>
    </row>
    <row r="4" ht="20.05" customHeight="1">
      <c r="A4" s="28">
        <f>$A3+1</f>
        <v>2004</v>
      </c>
      <c r="B4" s="17">
        <f>-8.729+117.301-1621.472</f>
        <v>-1512.9</v>
      </c>
      <c r="C4" s="18">
        <f>657.697-56.959-2.479</f>
        <v>598.259</v>
      </c>
      <c r="D4" s="18">
        <f>SUM(B4:C4)</f>
        <v>-914.641</v>
      </c>
      <c r="E4" s="18">
        <f>B4+E3</f>
        <v>-1597.354</v>
      </c>
      <c r="F4" s="18">
        <f>C4+F3</f>
        <v>608.183</v>
      </c>
      <c r="G4" s="18">
        <f>D4+G3</f>
        <v>-989.171</v>
      </c>
      <c r="H4" s="39">
        <f>4+H3</f>
        <v>8</v>
      </c>
    </row>
    <row r="5" ht="20.05" customHeight="1">
      <c r="A5" s="28">
        <f>$A4+1</f>
        <v>2005</v>
      </c>
      <c r="B5" s="17">
        <f>84.407+1837.22-1199.208</f>
        <v>722.419</v>
      </c>
      <c r="C5" s="18">
        <f>-99.772+1.242-6.035</f>
        <v>-104.565</v>
      </c>
      <c r="D5" s="18">
        <f>SUM(B5:C5)</f>
        <v>617.854</v>
      </c>
      <c r="E5" s="18">
        <f>B5+E4</f>
        <v>-874.9349999999999</v>
      </c>
      <c r="F5" s="18">
        <f>C5+F4</f>
        <v>503.618</v>
      </c>
      <c r="G5" s="18">
        <f>D5+G4</f>
        <v>-371.317</v>
      </c>
      <c r="H5" s="39">
        <f>4+H4</f>
        <v>12</v>
      </c>
    </row>
    <row r="6" ht="20.05" customHeight="1">
      <c r="A6" s="28">
        <f>$A5+1</f>
        <v>2006</v>
      </c>
      <c r="B6" s="17">
        <f>-149.545+2147.785-1353.592</f>
        <v>644.648</v>
      </c>
      <c r="C6" s="18">
        <f>-441.999</f>
        <v>-441.999</v>
      </c>
      <c r="D6" s="18">
        <f>SUM(B6:C6)</f>
        <v>202.649</v>
      </c>
      <c r="E6" s="18">
        <f>B6+E5</f>
        <v>-230.287</v>
      </c>
      <c r="F6" s="18">
        <f>C6+F5</f>
        <v>61.619</v>
      </c>
      <c r="G6" s="18">
        <f>D6+G5</f>
        <v>-168.668</v>
      </c>
      <c r="H6" s="39">
        <f>4+H5</f>
        <v>16</v>
      </c>
    </row>
    <row r="7" ht="20.05" customHeight="1">
      <c r="A7" s="28">
        <f>$A6+1</f>
        <v>2007</v>
      </c>
      <c r="B7" s="17">
        <f>-22.449+2967.146-3215.836-546.371</f>
        <v>-817.51</v>
      </c>
      <c r="C7" s="18">
        <f>-413.2-6.915</f>
        <v>-420.115</v>
      </c>
      <c r="D7" s="18">
        <f>SUM(B7:C7)</f>
        <v>-1237.625</v>
      </c>
      <c r="E7" s="18">
        <f>B7+E6</f>
        <v>-1047.797</v>
      </c>
      <c r="F7" s="18">
        <f>C7+F6</f>
        <v>-358.496</v>
      </c>
      <c r="G7" s="18">
        <f>D7+G6</f>
        <v>-1406.293</v>
      </c>
      <c r="H7" s="39">
        <f>4+H6</f>
        <v>20</v>
      </c>
    </row>
    <row r="8" ht="20.05" customHeight="1">
      <c r="A8" s="28">
        <f>$A7+1</f>
        <v>2008</v>
      </c>
      <c r="B8" s="17">
        <f>60.356+6211.616-4701.606-739.165</f>
        <v>831.201</v>
      </c>
      <c r="C8" s="18">
        <f>3526.127-760.456-6.956</f>
        <v>2758.715</v>
      </c>
      <c r="D8" s="18">
        <f>SUM(B8:C8)</f>
        <v>3589.916</v>
      </c>
      <c r="E8" s="18">
        <f>B8+E7</f>
        <v>-216.596</v>
      </c>
      <c r="F8" s="18">
        <f>C8+F7</f>
        <v>2400.219</v>
      </c>
      <c r="G8" s="18">
        <f>D8+G7</f>
        <v>2183.623</v>
      </c>
      <c r="H8" s="39">
        <f>4+H7</f>
        <v>24</v>
      </c>
    </row>
    <row r="9" ht="20.05" customHeight="1">
      <c r="A9" s="28">
        <f>$A8+1</f>
        <v>2009</v>
      </c>
      <c r="B9" s="17">
        <f>-434.351+1234.4-1784.529+314.249</f>
        <v>-670.231</v>
      </c>
      <c r="C9" s="18">
        <f>-1165.3-9.989</f>
        <v>-1175.289</v>
      </c>
      <c r="D9" s="18">
        <f>SUM(B9:C9)</f>
        <v>-1845.52</v>
      </c>
      <c r="E9" s="18">
        <f>B9+E8</f>
        <v>-886.827</v>
      </c>
      <c r="F9" s="18">
        <f>C9+F8</f>
        <v>1224.93</v>
      </c>
      <c r="G9" s="18">
        <f>D9+G8</f>
        <v>338.103</v>
      </c>
      <c r="H9" s="39">
        <f>4+H8</f>
        <v>28</v>
      </c>
    </row>
    <row r="10" ht="20.05" customHeight="1">
      <c r="A10" s="28">
        <f>$A9+1</f>
        <v>2010</v>
      </c>
      <c r="B10" s="17">
        <f>189.519+4128.303-2358.59-25.176</f>
        <v>1934.056</v>
      </c>
      <c r="C10" s="18">
        <v>-1629.228</v>
      </c>
      <c r="D10" s="18">
        <f>SUM(B10:C10)</f>
        <v>304.828</v>
      </c>
      <c r="E10" s="18">
        <f>B10+E9</f>
        <v>1047.229</v>
      </c>
      <c r="F10" s="18">
        <f>C10+F9</f>
        <v>-404.298</v>
      </c>
      <c r="G10" s="18">
        <f>D10+G9</f>
        <v>642.931</v>
      </c>
      <c r="H10" s="39">
        <f>4+H9</f>
        <v>32</v>
      </c>
    </row>
    <row r="11" ht="20.05" customHeight="1">
      <c r="A11" s="28">
        <f>$A10+1</f>
        <v>2011</v>
      </c>
      <c r="B11" s="17">
        <v>-1199</v>
      </c>
      <c r="C11" s="18">
        <v>4326</v>
      </c>
      <c r="D11" s="18">
        <f>SUM(B11:C11)</f>
        <v>3127</v>
      </c>
      <c r="E11" s="18">
        <f>B11+E10</f>
        <v>-151.771</v>
      </c>
      <c r="F11" s="18">
        <f>C11+F10</f>
        <v>3921.702</v>
      </c>
      <c r="G11" s="18">
        <f>D11+G10</f>
        <v>3769.931</v>
      </c>
      <c r="H11" s="39">
        <f>4+H10</f>
        <v>36</v>
      </c>
    </row>
    <row r="12" ht="20.05" customHeight="1">
      <c r="A12" s="28">
        <f>$A11+1</f>
        <v>2012</v>
      </c>
      <c r="B12" s="17">
        <v>168.5</v>
      </c>
      <c r="C12" s="18">
        <v>-2695.684</v>
      </c>
      <c r="D12" s="18">
        <f>SUM(B12:C12)</f>
        <v>-2527.184</v>
      </c>
      <c r="E12" s="18">
        <f>B12+E11</f>
        <v>16.729</v>
      </c>
      <c r="F12" s="18">
        <f>C12+F11</f>
        <v>1226.018</v>
      </c>
      <c r="G12" s="18">
        <f>D12+G11</f>
        <v>1242.747</v>
      </c>
      <c r="H12" s="39">
        <f>4+H11</f>
        <v>40</v>
      </c>
    </row>
    <row r="13" ht="20.05" customHeight="1">
      <c r="A13" s="28">
        <f>$A12+1</f>
        <v>2013</v>
      </c>
      <c r="B13" s="17">
        <v>-1939</v>
      </c>
      <c r="C13" s="18">
        <v>-2174</v>
      </c>
      <c r="D13" s="18">
        <f>SUM(B13:C13)</f>
        <v>-4113</v>
      </c>
      <c r="E13" s="18">
        <f>B13+E12</f>
        <v>-1922.271</v>
      </c>
      <c r="F13" s="18">
        <f>C13+F12</f>
        <v>-947.982</v>
      </c>
      <c r="G13" s="18">
        <f>D13+G12</f>
        <v>-2870.253</v>
      </c>
      <c r="H13" s="39">
        <f>4+H12</f>
        <v>44</v>
      </c>
    </row>
    <row r="14" ht="20.05" customHeight="1">
      <c r="A14" s="28">
        <f>$A13+1</f>
        <v>2014</v>
      </c>
      <c r="B14" s="17">
        <v>-1083</v>
      </c>
      <c r="C14" s="18">
        <v>-1995</v>
      </c>
      <c r="D14" s="18">
        <f>SUM(B14:C14)</f>
        <v>-3078</v>
      </c>
      <c r="E14" s="18">
        <f>B14+E13</f>
        <v>-3005.271</v>
      </c>
      <c r="F14" s="18">
        <f>C14+F13</f>
        <v>-2942.982</v>
      </c>
      <c r="G14" s="18">
        <f>D14+G13</f>
        <v>-5948.253</v>
      </c>
      <c r="H14" s="39">
        <f>4+H13</f>
        <v>48</v>
      </c>
    </row>
    <row r="15" ht="20.05" customHeight="1">
      <c r="A15" s="28">
        <f>$A14+1</f>
        <v>2015</v>
      </c>
      <c r="B15" s="17">
        <v>-935</v>
      </c>
      <c r="C15" s="18">
        <v>-2988</v>
      </c>
      <c r="D15" s="18">
        <f>SUM(B15:C15)</f>
        <v>-3923</v>
      </c>
      <c r="E15" s="18">
        <f>B15+E14</f>
        <v>-3940.271</v>
      </c>
      <c r="F15" s="18">
        <f>C15+F14</f>
        <v>-5930.982</v>
      </c>
      <c r="G15" s="18">
        <f>D15+G14</f>
        <v>-9871.253000000001</v>
      </c>
      <c r="H15" s="39">
        <f>4+H14</f>
        <v>52</v>
      </c>
    </row>
    <row r="16" ht="20.05" customHeight="1">
      <c r="A16" s="28">
        <f>$A15+1</f>
        <v>2016</v>
      </c>
      <c r="B16" s="17">
        <v>-625</v>
      </c>
      <c r="C16" s="18">
        <v>-2195</v>
      </c>
      <c r="D16" s="18">
        <f>SUM(B16:C16)</f>
        <v>-2820</v>
      </c>
      <c r="E16" s="18">
        <f>B16+E15</f>
        <v>-4565.271</v>
      </c>
      <c r="F16" s="18">
        <f>C16+F15</f>
        <v>-8125.982</v>
      </c>
      <c r="G16" s="18">
        <f>D16+G15</f>
        <v>-12691.253</v>
      </c>
      <c r="H16" s="39">
        <f>4+H15</f>
        <v>56</v>
      </c>
    </row>
    <row r="17" ht="20.05" customHeight="1">
      <c r="A17" s="28">
        <f>$A16+1</f>
        <v>2017</v>
      </c>
      <c r="B17" s="17">
        <v>3526</v>
      </c>
      <c r="C17" s="18">
        <v>-2543</v>
      </c>
      <c r="D17" s="18">
        <f>SUM(B17:C17)</f>
        <v>983</v>
      </c>
      <c r="E17" s="18">
        <f>B17+E16</f>
        <v>-1039.271</v>
      </c>
      <c r="F17" s="18">
        <f>C17+F16</f>
        <v>-10668.982</v>
      </c>
      <c r="G17" s="18">
        <f>D17+G16</f>
        <v>-11708.253</v>
      </c>
      <c r="H17" s="39">
        <f>4+H16</f>
        <v>60</v>
      </c>
    </row>
    <row r="18" ht="20.05" customHeight="1">
      <c r="A18" s="28">
        <f>$A17+1</f>
        <v>2018</v>
      </c>
      <c r="B18" s="17">
        <v>5041</v>
      </c>
      <c r="C18" s="18">
        <v>-3883</v>
      </c>
      <c r="D18" s="18">
        <f>SUM(B18:C18)</f>
        <v>1158</v>
      </c>
      <c r="E18" s="18">
        <f>B18+E17</f>
        <v>4001.729</v>
      </c>
      <c r="F18" s="18">
        <f>C18+F17</f>
        <v>-14551.982</v>
      </c>
      <c r="G18" s="18">
        <f>D18+G17</f>
        <v>-10550.253</v>
      </c>
      <c r="H18" s="39">
        <f>4+H17</f>
        <v>64</v>
      </c>
    </row>
    <row r="19" ht="20.05" customHeight="1">
      <c r="A19" s="28">
        <f>$A18+1</f>
        <v>2019</v>
      </c>
      <c r="B19" s="17">
        <v>3997</v>
      </c>
      <c r="C19" s="18">
        <v>-4899</v>
      </c>
      <c r="D19" s="18">
        <f>SUM(B19:C19)</f>
        <v>-902</v>
      </c>
      <c r="E19" s="18">
        <f>B19+E18</f>
        <v>7998.729</v>
      </c>
      <c r="F19" s="18">
        <f>C19+F18</f>
        <v>-19450.982</v>
      </c>
      <c r="G19" s="18">
        <f>D19+G18</f>
        <v>-11452.253</v>
      </c>
      <c r="H19" s="39">
        <f>4+H18</f>
        <v>68</v>
      </c>
    </row>
    <row r="20" ht="20.05" customHeight="1">
      <c r="A20" s="28">
        <f>$A19+1</f>
        <v>2020</v>
      </c>
      <c r="B20" s="17">
        <v>-2879</v>
      </c>
      <c r="C20" s="18">
        <v>-3838</v>
      </c>
      <c r="D20" s="18">
        <f>SUM(B20:C20)</f>
        <v>-6717</v>
      </c>
      <c r="E20" s="18">
        <f>B20+E19</f>
        <v>5119.729</v>
      </c>
      <c r="F20" s="18">
        <f>C20+F19</f>
        <v>-23288.982</v>
      </c>
      <c r="G20" s="18">
        <f>D20+G19</f>
        <v>-18169.253</v>
      </c>
      <c r="H20" s="39">
        <f>4+H19</f>
        <v>72</v>
      </c>
    </row>
    <row r="21" ht="20.05" customHeight="1">
      <c r="A21" s="28">
        <f>$A20+1</f>
        <v>2021</v>
      </c>
      <c r="B21" s="17">
        <v>-1904</v>
      </c>
      <c r="C21" s="18">
        <v>-1834</v>
      </c>
      <c r="D21" s="18">
        <f>SUM(B21:C21)</f>
        <v>-3738</v>
      </c>
      <c r="E21" s="18">
        <f>B21+E20</f>
        <v>3215.729</v>
      </c>
      <c r="F21" s="18">
        <f>C21+F20</f>
        <v>-25122.982</v>
      </c>
      <c r="G21" s="18">
        <f>D21+G20</f>
        <v>-21907.253</v>
      </c>
      <c r="H21" s="39">
        <f>4+H20</f>
        <v>76</v>
      </c>
    </row>
  </sheetData>
  <mergeCells count="1">
    <mergeCell ref="A1:H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