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<sst xmlns="http://schemas.openxmlformats.org/spreadsheetml/2006/main" uniqueCount="60">
  <si>
    <t>Financial model</t>
  </si>
  <si>
    <t>Rpbn</t>
  </si>
  <si>
    <t>4Q 2022</t>
  </si>
  <si>
    <t xml:space="preserve">Cash flow  </t>
  </si>
  <si>
    <t>Growth</t>
  </si>
  <si>
    <t>Sales</t>
  </si>
  <si>
    <t>Cost ratio</t>
  </si>
  <si>
    <t>Cash costs</t>
  </si>
  <si>
    <t>Operating</t>
  </si>
  <si>
    <t>Investment</t>
  </si>
  <si>
    <t xml:space="preserve">Leases </t>
  </si>
  <si>
    <t>Finance</t>
  </si>
  <si>
    <t xml:space="preserve">Liabilities </t>
  </si>
  <si>
    <t xml:space="preserve">Revolver  </t>
  </si>
  <si>
    <t xml:space="preserve">Payout </t>
  </si>
  <si>
    <t xml:space="preserve">Equity </t>
  </si>
  <si>
    <t xml:space="preserve">Before 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</si>
  <si>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</si>
  <si>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</si>
  <si>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</si>
  <si>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</si>
  <si>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</si>
  <si>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</si>
  <si>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</si>
  <si>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</si>
  <si>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</si>
  <si>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</si>
  <si>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 xml:space="preserve">Revolver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</si>
  <si>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</si>
  <si>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</si>
  <si>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</si>
  <si>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</si>
  <si>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</si>
  <si>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</si>
  <si>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</si>
  <si>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</si>
  <si>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</si>
  <si>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</si>
  <si>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</si>
  <si>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</si>
  <si>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</si>
  <si>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</si>
  <si>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</si>
  <si>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</si>
  <si>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 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</si>
  <si>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</si>
  <si>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</si>
  <si>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</si>
  <si>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</si>
  <si>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</si>
  <si>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>Leases</t>
  </si>
  <si>
    <t xml:space="preserve">Finance </t>
  </si>
  <si>
    <t xml:space="preserve">Free cashflow </t>
  </si>
  <si>
    <t>Balance sheet</t>
  </si>
  <si>
    <t>Cash</t>
  </si>
  <si>
    <t xml:space="preserve">Assets </t>
  </si>
  <si>
    <t>Other assets</t>
  </si>
  <si>
    <t>Net cash</t>
  </si>
  <si>
    <t>Share price</t>
  </si>
  <si>
    <t>UCID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</si>
</sst>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%_);[Red]\(0%\)"/>
    <numFmt numFmtId="60" formatCode="0_);[Red]\(0\)"/>
    <numFmt numFmtId="61" formatCode="0.0"/>
    <numFmt numFmtId="62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60" fontId="0" fillId="4" borderId="4" applyNumberFormat="1" applyFont="1" applyFill="1" applyBorder="1" applyAlignment="1" applyProtection="0">
      <alignment vertical="top" wrapText="1"/>
    </xf>
    <xf numFmtId="9" fontId="0" fillId="4" borderId="4" applyNumberFormat="1" applyFont="1" applyFill="1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fillId="4" borderId="6" applyNumberFormat="1" applyFont="1" applyFill="1" applyBorder="1" applyAlignment="1" applyProtection="0">
      <alignment vertical="top" wrapText="1"/>
    </xf>
    <xf numFmtId="38" fontId="0" fillId="4" borderId="7" applyNumberFormat="1" applyFont="1" applyFill="1" applyBorder="1" applyAlignment="1" applyProtection="0">
      <alignment vertical="top" wrapText="1"/>
    </xf>
    <xf numFmtId="9" fontId="0" fillId="4" borderId="6" applyNumberFormat="1" applyFont="1" applyFill="1" applyBorder="1" applyAlignment="1" applyProtection="0">
      <alignment vertical="top" wrapText="1"/>
    </xf>
    <xf numFmtId="9" fontId="0" fillId="4" borderId="7" applyNumberFormat="1" applyFont="1" applyFill="1" applyBorder="1" applyAlignment="1" applyProtection="0">
      <alignment vertical="top" wrapText="1"/>
    </xf>
    <xf numFmtId="3" fontId="0" fillId="4" borderId="6" applyNumberFormat="1" applyFont="1" applyFill="1" applyBorder="1" applyAlignment="1" applyProtection="0">
      <alignment vertical="top" wrapText="1"/>
    </xf>
    <xf numFmtId="3" fontId="0" fillId="4" borderId="7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fillId="4" borderId="6" applyNumberFormat="1" applyFont="1" applyFill="1" applyBorder="1" applyAlignment="1" applyProtection="0">
      <alignment vertical="top" wrapText="1"/>
    </xf>
    <xf numFmtId="1" fontId="0" fillId="4" borderId="7" applyNumberFormat="1" applyFont="1" applyFill="1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5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0" fontId="2" fillId="5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0" fontId="2" fillId="5" borderId="5" applyNumberFormat="1" applyFont="1" applyFill="1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5" borderId="2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fffff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339010</xdr:colOff>
      <xdr:row>1</xdr:row>
      <xdr:rowOff>322231</xdr:rowOff>
    </xdr:from>
    <xdr:to>
      <xdr:col>13</xdr:col>
      <xdr:colOff>914633</xdr:colOff>
      <xdr:row>49</xdr:row>
      <xdr:rowOff>235362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33210" y="931831"/>
          <a:ext cx="9287824" cy="122372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76562" style="1" customWidth="1"/>
    <col min="2" max="2" width="14.7656" style="1" customWidth="1"/>
    <col min="3" max="6" width="8.57031" style="1" customWidth="1"/>
    <col min="7" max="16384" width="16.3516" style="1" customWidth="1"/>
  </cols>
  <sheetData>
    <row r="1" ht="4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AVERAGE('Sales'!G25:G28)</f>
        <v>0.0506876409055009</v>
      </c>
      <c r="D4" s="8"/>
      <c r="E4" s="8"/>
      <c r="F4" s="9">
        <f>AVERAGE(C5:F5)</f>
        <v>0.0175</v>
      </c>
    </row>
    <row r="5" ht="20.05" customHeight="1">
      <c r="B5" t="s" s="10">
        <v>4</v>
      </c>
      <c r="C5" s="11">
        <v>0.04</v>
      </c>
      <c r="D5" s="12">
        <v>0.01</v>
      </c>
      <c r="E5" s="12">
        <v>0.03</v>
      </c>
      <c r="F5" s="12">
        <v>-0.01</v>
      </c>
    </row>
    <row r="6" ht="20.05" customHeight="1">
      <c r="B6" t="s" s="10">
        <v>5</v>
      </c>
      <c r="C6" s="13">
        <f>'Sales'!C28*(1+C5)</f>
        <v>2648.88</v>
      </c>
      <c r="D6" s="14">
        <f>C6*(1+D5)</f>
        <v>2675.3688</v>
      </c>
      <c r="E6" s="14">
        <f>D6*(1+E5)</f>
        <v>2755.629864</v>
      </c>
      <c r="F6" s="14">
        <f>E6*(1+F5)</f>
        <v>2728.07356536</v>
      </c>
    </row>
    <row r="7" ht="20.05" customHeight="1">
      <c r="B7" t="s" s="10">
        <v>6</v>
      </c>
      <c r="C7" s="15">
        <f>AVERAGE('Sales'!I28)</f>
        <v>-0.901353836704783</v>
      </c>
      <c r="D7" s="16">
        <f>C7</f>
        <v>-0.901353836704783</v>
      </c>
      <c r="E7" s="16">
        <f>D7</f>
        <v>-0.901353836704783</v>
      </c>
      <c r="F7" s="16">
        <f>E7</f>
        <v>-0.901353836704783</v>
      </c>
    </row>
    <row r="8" ht="20.05" customHeight="1">
      <c r="B8" t="s" s="10">
        <v>7</v>
      </c>
      <c r="C8" s="17">
        <f>C7*C6</f>
        <v>-2387.578150970570</v>
      </c>
      <c r="D8" s="18">
        <f>D7*D6</f>
        <v>-2411.453932480270</v>
      </c>
      <c r="E8" s="18">
        <f>E7*E6</f>
        <v>-2483.797550454680</v>
      </c>
      <c r="F8" s="18">
        <f>F7*F6</f>
        <v>-2458.959574950130</v>
      </c>
    </row>
    <row r="9" ht="20.05" customHeight="1">
      <c r="B9" t="s" s="10">
        <v>8</v>
      </c>
      <c r="C9" s="19">
        <f>C6+C8</f>
        <v>261.301849029430</v>
      </c>
      <c r="D9" s="20">
        <f>D6+D8</f>
        <v>263.914867519730</v>
      </c>
      <c r="E9" s="20">
        <f>E6+E8</f>
        <v>271.832313545320</v>
      </c>
      <c r="F9" s="20">
        <f>F6+F8</f>
        <v>269.113990409870</v>
      </c>
    </row>
    <row r="10" ht="20.05" customHeight="1">
      <c r="B10" t="s" s="10">
        <v>9</v>
      </c>
      <c r="C10" s="19">
        <f>AVERAGE('Cashflow'!E27:E28)</f>
        <v>-59.15</v>
      </c>
      <c r="D10" s="20">
        <f>C10</f>
        <v>-59.15</v>
      </c>
      <c r="E10" s="20">
        <f>D10</f>
        <v>-59.15</v>
      </c>
      <c r="F10" s="20">
        <f>E10</f>
        <v>-59.15</v>
      </c>
    </row>
    <row r="11" ht="20.05" customHeight="1">
      <c r="B11" t="s" s="10">
        <v>10</v>
      </c>
      <c r="C11" s="19">
        <f>'Cashflow'!F28</f>
        <v>-23</v>
      </c>
      <c r="D11" s="20">
        <f>C11</f>
        <v>-23</v>
      </c>
      <c r="E11" s="20">
        <f>D11</f>
        <v>-23</v>
      </c>
      <c r="F11" s="20">
        <f>E11</f>
        <v>-23</v>
      </c>
    </row>
    <row r="12" ht="20.05" customHeight="1">
      <c r="B12" t="s" s="10">
        <v>11</v>
      </c>
      <c r="C12" s="21">
        <f>C13+C16+C14</f>
        <v>-179.151849029430</v>
      </c>
      <c r="D12" s="22">
        <f>D13+D16+D14</f>
        <v>-175.061494280402</v>
      </c>
      <c r="E12" s="22">
        <f>E13+E16+E14</f>
        <v>-167.887962709064</v>
      </c>
      <c r="F12" s="22">
        <f>F13+F16+F14</f>
        <v>-160.458223081974</v>
      </c>
    </row>
    <row r="13" ht="20.05" customHeight="1">
      <c r="B13" t="s" s="10">
        <v>12</v>
      </c>
      <c r="C13" s="21">
        <f>-'Balance sheet'!G19/20</f>
        <v>-152.6</v>
      </c>
      <c r="D13" s="22">
        <f>-C28/20</f>
        <v>-144.97</v>
      </c>
      <c r="E13" s="22">
        <f>-D28/20</f>
        <v>-137.7215</v>
      </c>
      <c r="F13" s="22">
        <f>-E28/20</f>
        <v>-130.835425</v>
      </c>
    </row>
    <row r="14" ht="20.05" customHeight="1">
      <c r="B14" t="s" s="10">
        <v>13</v>
      </c>
      <c r="C14" s="21">
        <f>-MIN(0,C17)</f>
        <v>1.508520776456</v>
      </c>
      <c r="D14" s="22">
        <f>-MIN(C29,D17)</f>
        <v>-1.508520776456</v>
      </c>
      <c r="E14" s="22">
        <f>-MIN(D29,E17)</f>
        <v>0</v>
      </c>
      <c r="F14" s="22">
        <f>-MIN(E29,F17)</f>
        <v>0</v>
      </c>
    </row>
    <row r="15" ht="20.05" customHeight="1">
      <c r="B15" t="s" s="10">
        <v>14</v>
      </c>
      <c r="C15" s="23">
        <v>0.2</v>
      </c>
      <c r="D15" s="20"/>
      <c r="E15" s="20"/>
      <c r="F15" s="20"/>
    </row>
    <row r="16" ht="20.05" customHeight="1">
      <c r="B16" t="s" s="10">
        <v>15</v>
      </c>
      <c r="C16" s="19">
        <f>IF(C23&gt;0,-C23*$C$15,0)</f>
        <v>-28.060369805886</v>
      </c>
      <c r="D16" s="20">
        <f>IF(D23&gt;0,-D23*$C$15,0)</f>
        <v>-28.582973503946</v>
      </c>
      <c r="E16" s="20">
        <f>IF(E23&gt;0,-E23*$C$15,0)</f>
        <v>-30.166462709064</v>
      </c>
      <c r="F16" s="20">
        <f>IF(F23&gt;0,-F23*$C$15,0)</f>
        <v>-29.622798081974</v>
      </c>
    </row>
    <row r="17" ht="20.05" customHeight="1">
      <c r="B17" t="s" s="10">
        <v>16</v>
      </c>
      <c r="C17" s="21">
        <f>C9+C10+C11+C13+C16</f>
        <v>-1.508520776456</v>
      </c>
      <c r="D17" s="22">
        <f>D9+D10+D11+D13+D16</f>
        <v>8.211894015784001</v>
      </c>
      <c r="E17" s="22">
        <f>E9+E10+E11+E13+E16</f>
        <v>21.794350836256</v>
      </c>
      <c r="F17" s="22">
        <f>F9+F10+F11+F13+F16</f>
        <v>26.505767327896</v>
      </c>
    </row>
    <row r="18" ht="20.05" customHeight="1">
      <c r="B18" t="s" s="10">
        <v>17</v>
      </c>
      <c r="C18" s="17">
        <f>'Balance sheet'!C19</f>
        <v>1687</v>
      </c>
      <c r="D18" s="18">
        <f>C20</f>
        <v>1710</v>
      </c>
      <c r="E18" s="18">
        <f>D20</f>
        <v>1739.703373239330</v>
      </c>
      <c r="F18" s="18">
        <f>E20</f>
        <v>1784.497724075590</v>
      </c>
    </row>
    <row r="19" ht="20.05" customHeight="1">
      <c r="B19" t="s" s="10">
        <v>18</v>
      </c>
      <c r="C19" s="17">
        <f>C9+C10+C12</f>
        <v>23</v>
      </c>
      <c r="D19" s="18">
        <f>D9+D10+D12</f>
        <v>29.703373239328</v>
      </c>
      <c r="E19" s="18">
        <f>E9+E10+E12</f>
        <v>44.794350836256</v>
      </c>
      <c r="F19" s="18">
        <f>F9+F10+F12</f>
        <v>49.505767327896</v>
      </c>
    </row>
    <row r="20" ht="20.05" customHeight="1">
      <c r="B20" t="s" s="10">
        <v>19</v>
      </c>
      <c r="C20" s="17">
        <f>C18+C19</f>
        <v>1710</v>
      </c>
      <c r="D20" s="18">
        <f>D18+D19</f>
        <v>1739.703373239330</v>
      </c>
      <c r="E20" s="18">
        <f>E18+E19</f>
        <v>1784.497724075590</v>
      </c>
      <c r="F20" s="18">
        <f>F18+F19</f>
        <v>1834.003491403490</v>
      </c>
    </row>
    <row r="21" ht="20.05" customHeight="1">
      <c r="B21" t="s" s="24">
        <v>20</v>
      </c>
      <c r="C21" s="25"/>
      <c r="D21" s="26"/>
      <c r="E21" s="26"/>
      <c r="F21" s="27"/>
    </row>
    <row r="22" ht="20.05" customHeight="1">
      <c r="B22" t="s" s="10">
        <v>21</v>
      </c>
      <c r="C22" s="21">
        <f>-'Sales'!E28</f>
        <v>-121</v>
      </c>
      <c r="D22" s="22">
        <f>C22</f>
        <v>-121</v>
      </c>
      <c r="E22" s="22">
        <f>D22</f>
        <v>-121</v>
      </c>
      <c r="F22" s="22">
        <f>E22</f>
        <v>-121</v>
      </c>
    </row>
    <row r="23" ht="20.05" customHeight="1">
      <c r="B23" t="s" s="10">
        <v>22</v>
      </c>
      <c r="C23" s="19">
        <f>C6+C8+C22</f>
        <v>140.301849029430</v>
      </c>
      <c r="D23" s="20">
        <f>D6+D8+D22</f>
        <v>142.914867519730</v>
      </c>
      <c r="E23" s="20">
        <f>E6+E8+E22</f>
        <v>150.832313545320</v>
      </c>
      <c r="F23" s="20">
        <f>F6+F8+F22</f>
        <v>148.113990409870</v>
      </c>
    </row>
    <row r="24" ht="20.05" customHeight="1">
      <c r="B24" t="s" s="24">
        <v>23</v>
      </c>
      <c r="C24" s="19"/>
      <c r="D24" s="20"/>
      <c r="E24" s="20"/>
      <c r="F24" s="20"/>
    </row>
    <row r="25" ht="20.05" customHeight="1">
      <c r="B25" t="s" s="10">
        <v>24</v>
      </c>
      <c r="C25" s="17">
        <f>'Balance sheet'!E19+'Balance sheet'!F19-C10</f>
        <v>10308.15</v>
      </c>
      <c r="D25" s="18">
        <f>C25-D10</f>
        <v>10367.3</v>
      </c>
      <c r="E25" s="18">
        <f>D25-E10</f>
        <v>10426.45</v>
      </c>
      <c r="F25" s="18">
        <f>E25-F10</f>
        <v>10485.6</v>
      </c>
    </row>
    <row r="26" ht="20.05" customHeight="1">
      <c r="B26" t="s" s="10">
        <v>25</v>
      </c>
      <c r="C26" s="17">
        <f>'Balance sheet'!F19-C22</f>
        <v>3973</v>
      </c>
      <c r="D26" s="18">
        <f>C26-D22</f>
        <v>4094</v>
      </c>
      <c r="E26" s="18">
        <f>D26-E22</f>
        <v>4215</v>
      </c>
      <c r="F26" s="18">
        <f>E26-F22</f>
        <v>4336</v>
      </c>
    </row>
    <row r="27" ht="20.05" customHeight="1">
      <c r="B27" t="s" s="10">
        <v>26</v>
      </c>
      <c r="C27" s="17">
        <f>C25-C26</f>
        <v>6335.15</v>
      </c>
      <c r="D27" s="18">
        <f>D25-D26</f>
        <v>6273.3</v>
      </c>
      <c r="E27" s="18">
        <f>E25-E26</f>
        <v>6211.45</v>
      </c>
      <c r="F27" s="18">
        <f>F25-F26</f>
        <v>6149.6</v>
      </c>
    </row>
    <row r="28" ht="20.05" customHeight="1">
      <c r="B28" t="s" s="10">
        <v>12</v>
      </c>
      <c r="C28" s="17">
        <f>'Balance sheet'!G19+C13</f>
        <v>2899.4</v>
      </c>
      <c r="D28" s="18">
        <f>C28+D13</f>
        <v>2754.43</v>
      </c>
      <c r="E28" s="18">
        <f>D28+E13</f>
        <v>2616.7085</v>
      </c>
      <c r="F28" s="18">
        <f>E28+F13</f>
        <v>2485.873075</v>
      </c>
    </row>
    <row r="29" ht="20.05" customHeight="1">
      <c r="B29" t="s" s="10">
        <v>27</v>
      </c>
      <c r="C29" s="17">
        <f>C14</f>
        <v>1.508520776456</v>
      </c>
      <c r="D29" s="18">
        <f>C29+D14</f>
        <v>0</v>
      </c>
      <c r="E29" s="18">
        <f>D29+E14</f>
        <v>0</v>
      </c>
      <c r="F29" s="18">
        <f>E29+F14</f>
        <v>0</v>
      </c>
    </row>
    <row r="30" ht="20.05" customHeight="1">
      <c r="B30" t="s" s="10">
        <v>15</v>
      </c>
      <c r="C30" s="17">
        <f>'Balance sheet'!H19+C23+C16</f>
        <v>5144.241479223540</v>
      </c>
      <c r="D30" s="18">
        <f>C30+D23+D16</f>
        <v>5258.573373239320</v>
      </c>
      <c r="E30" s="18">
        <f>D30+E23+E16</f>
        <v>5379.239224075580</v>
      </c>
      <c r="F30" s="18">
        <f>E30+F23+F16</f>
        <v>5497.730416403480</v>
      </c>
    </row>
    <row r="31" ht="20.05" customHeight="1">
      <c r="B31" t="s" s="10">
        <v>28</v>
      </c>
      <c r="C31" s="19">
        <f>C28+C29+C30-C20-C27</f>
        <v>-4e-12</v>
      </c>
      <c r="D31" s="20">
        <f>D28+D29+D30-D20-D27</f>
        <v>-9.999999999999999e-12</v>
      </c>
      <c r="E31" s="20">
        <f>E28+E29+E30-E20-E27</f>
        <v>-9.999999999999999e-12</v>
      </c>
      <c r="F31" s="20">
        <f>F28+F29+F30-F20-F27</f>
        <v>-9.999999999999999e-12</v>
      </c>
    </row>
    <row r="32" ht="20.05" customHeight="1">
      <c r="B32" t="s" s="10">
        <v>29</v>
      </c>
      <c r="C32" s="19">
        <f>C20-C28-C29</f>
        <v>-1190.908520776460</v>
      </c>
      <c r="D32" s="20">
        <f>D20-D28-D29</f>
        <v>-1014.726626760670</v>
      </c>
      <c r="E32" s="20">
        <f>E20-E28-E29</f>
        <v>-832.210775924410</v>
      </c>
      <c r="F32" s="20">
        <f>F20-F28-F29</f>
        <v>-651.869583596510</v>
      </c>
    </row>
    <row r="33" ht="20.05" customHeight="1">
      <c r="B33" t="s" s="24">
        <v>30</v>
      </c>
      <c r="C33" s="19"/>
      <c r="D33" s="20"/>
      <c r="E33" s="20"/>
      <c r="F33" s="20"/>
    </row>
    <row r="34" ht="20.05" customHeight="1">
      <c r="B34" t="s" s="10">
        <v>31</v>
      </c>
      <c r="C34" s="25">
        <f>'Cashflow'!M28-C12</f>
        <v>2069.922849029430</v>
      </c>
      <c r="D34" s="26">
        <f>C34-D12</f>
        <v>2244.984343309830</v>
      </c>
      <c r="E34" s="26">
        <f>D34-E12</f>
        <v>2412.872306018890</v>
      </c>
      <c r="F34" s="26">
        <f>E34-F12</f>
        <v>2573.330529100860</v>
      </c>
    </row>
    <row r="35" ht="20.05" customHeight="1">
      <c r="B35" t="s" s="10">
        <v>32</v>
      </c>
      <c r="C35" s="19"/>
      <c r="D35" s="20"/>
      <c r="E35" s="20"/>
      <c r="F35" s="26">
        <v>5013405196800</v>
      </c>
    </row>
    <row r="36" ht="20.05" customHeight="1">
      <c r="B36" t="s" s="10">
        <v>32</v>
      </c>
      <c r="C36" s="19"/>
      <c r="D36" s="20"/>
      <c r="E36" s="20"/>
      <c r="F36" s="26">
        <f>F35/1000000000</f>
        <v>5013.4051968</v>
      </c>
    </row>
    <row r="37" ht="20.05" customHeight="1">
      <c r="B37" t="s" s="10">
        <v>33</v>
      </c>
      <c r="C37" s="19"/>
      <c r="D37" s="20"/>
      <c r="E37" s="20"/>
      <c r="F37" s="28">
        <f>F36/(F20+F27)</f>
        <v>0.627962699074207</v>
      </c>
    </row>
    <row r="38" ht="20.05" customHeight="1">
      <c r="B38" t="s" s="10">
        <v>34</v>
      </c>
      <c r="C38" s="19"/>
      <c r="D38" s="20"/>
      <c r="E38" s="20"/>
      <c r="F38" s="12">
        <f>-(C16+D16+E16+F16)/F36</f>
        <v>0.0232242556765983</v>
      </c>
    </row>
    <row r="39" ht="20.05" customHeight="1">
      <c r="B39" t="s" s="10">
        <v>35</v>
      </c>
      <c r="C39" s="19"/>
      <c r="D39" s="20"/>
      <c r="E39" s="20"/>
      <c r="F39" s="20">
        <f>SUM(C9:F11)</f>
        <v>737.563020504350</v>
      </c>
    </row>
    <row r="40" ht="20.05" customHeight="1">
      <c r="B40" t="s" s="10">
        <v>36</v>
      </c>
      <c r="C40" s="19"/>
      <c r="D40" s="20"/>
      <c r="E40" s="20"/>
      <c r="F40" s="20">
        <f>'Balance sheet'!E19/F39</f>
        <v>8.67315717052313</v>
      </c>
    </row>
    <row r="41" ht="20.05" customHeight="1">
      <c r="B41" t="s" s="10">
        <v>30</v>
      </c>
      <c r="C41" s="19"/>
      <c r="D41" s="20"/>
      <c r="E41" s="20"/>
      <c r="F41" s="20">
        <f>F36/F39</f>
        <v>6.79725671898762</v>
      </c>
    </row>
    <row r="42" ht="20.05" customHeight="1">
      <c r="B42" t="s" s="10">
        <v>37</v>
      </c>
      <c r="C42" s="19"/>
      <c r="D42" s="20"/>
      <c r="E42" s="20"/>
      <c r="F42" s="26">
        <v>11</v>
      </c>
    </row>
    <row r="43" ht="20.05" customHeight="1">
      <c r="B43" t="s" s="10">
        <v>38</v>
      </c>
      <c r="C43" s="19"/>
      <c r="D43" s="20"/>
      <c r="E43" s="20"/>
      <c r="F43" s="26">
        <f>F39*F42</f>
        <v>8113.193225547850</v>
      </c>
    </row>
    <row r="44" ht="20.05" customHeight="1">
      <c r="B44" t="s" s="10">
        <v>39</v>
      </c>
      <c r="C44" s="19"/>
      <c r="D44" s="20"/>
      <c r="E44" s="20"/>
      <c r="F44" s="26">
        <f>F36/F46</f>
        <v>4.14331008</v>
      </c>
    </row>
    <row r="45" ht="20.05" customHeight="1">
      <c r="B45" t="s" s="10">
        <v>40</v>
      </c>
      <c r="C45" s="19"/>
      <c r="D45" s="20"/>
      <c r="E45" s="20"/>
      <c r="F45" s="26">
        <f>F43/F44</f>
        <v>1958.142902388770</v>
      </c>
    </row>
    <row r="46" ht="20.05" customHeight="1">
      <c r="B46" t="s" s="10">
        <v>41</v>
      </c>
      <c r="C46" s="19"/>
      <c r="D46" s="20"/>
      <c r="E46" s="20"/>
      <c r="F46" s="26">
        <v>1210</v>
      </c>
    </row>
    <row r="47" ht="20.05" customHeight="1">
      <c r="B47" t="s" s="10">
        <v>42</v>
      </c>
      <c r="C47" s="19"/>
      <c r="D47" s="20"/>
      <c r="E47" s="20"/>
      <c r="F47" s="29">
        <f>F45/F46-1</f>
        <v>0.618299919329562</v>
      </c>
    </row>
    <row r="48" ht="20.05" customHeight="1">
      <c r="B48" t="s" s="10">
        <v>43</v>
      </c>
      <c r="C48" s="19"/>
      <c r="D48" s="20"/>
      <c r="E48" s="20"/>
      <c r="F48" s="29">
        <f>'Sales'!C28/'Sales'!C24-1</f>
        <v>0.210551330798479</v>
      </c>
    </row>
    <row r="49" ht="20.05" customHeight="1">
      <c r="B49" t="s" s="10">
        <v>44</v>
      </c>
      <c r="C49" s="19"/>
      <c r="D49" s="20"/>
      <c r="E49" s="20"/>
      <c r="F49" s="29">
        <f>'Sales'!F31/'Sales'!E31-1</f>
        <v>-0.0158434966529685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45312" style="30" customWidth="1"/>
    <col min="2" max="2" width="10.3203" style="30" customWidth="1"/>
    <col min="3" max="4" width="10.2188" style="30" customWidth="1"/>
    <col min="5" max="6" width="10.6719" style="30" customWidth="1"/>
    <col min="7" max="10" width="10.0391" style="30" customWidth="1"/>
    <col min="11" max="16384" width="16.3516" style="30" customWidth="1"/>
  </cols>
  <sheetData>
    <row r="1" ht="13.8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37</v>
      </c>
      <c r="E3" t="s" s="5">
        <v>21</v>
      </c>
      <c r="F3" t="s" s="5">
        <v>20</v>
      </c>
      <c r="G3" t="s" s="5">
        <v>45</v>
      </c>
      <c r="H3" t="s" s="5">
        <v>46</v>
      </c>
      <c r="I3" t="s" s="5">
        <v>46</v>
      </c>
      <c r="J3" t="s" s="5">
        <v>37</v>
      </c>
    </row>
    <row r="4" ht="20.25" customHeight="1">
      <c r="B4" s="31">
        <v>2016</v>
      </c>
      <c r="C4" s="32">
        <v>1662.7</v>
      </c>
      <c r="D4" s="33"/>
      <c r="E4" s="34">
        <v>93.5</v>
      </c>
      <c r="F4" s="34">
        <v>-69.5</v>
      </c>
      <c r="G4" s="35"/>
      <c r="H4" s="36">
        <f>(E4+F4-C4)/C4</f>
        <v>-0.985565646238047</v>
      </c>
      <c r="I4" s="36"/>
      <c r="J4" s="36"/>
    </row>
    <row r="5" ht="20.05" customHeight="1">
      <c r="B5" s="37"/>
      <c r="C5" s="38">
        <v>1662.7</v>
      </c>
      <c r="D5" s="27"/>
      <c r="E5" s="26">
        <v>93.5</v>
      </c>
      <c r="F5" s="26">
        <v>-69.5</v>
      </c>
      <c r="G5" s="29">
        <f>C5/C4-1</f>
        <v>0</v>
      </c>
      <c r="H5" s="29">
        <f>(E5+F5-C5)/C5</f>
        <v>-0.985565646238047</v>
      </c>
      <c r="I5" s="29"/>
      <c r="J5" s="29"/>
    </row>
    <row r="6" ht="20.05" customHeight="1">
      <c r="B6" s="37"/>
      <c r="C6" s="38">
        <v>1662.7</v>
      </c>
      <c r="D6" s="27"/>
      <c r="E6" s="26">
        <v>93.5</v>
      </c>
      <c r="F6" s="26">
        <v>-69.5</v>
      </c>
      <c r="G6" s="29">
        <f>C6/C5-1</f>
        <v>0</v>
      </c>
      <c r="H6" s="29">
        <f>(E6+F6-C6)/C6</f>
        <v>-0.985565646238047</v>
      </c>
      <c r="I6" s="29"/>
      <c r="J6" s="29"/>
    </row>
    <row r="7" ht="20.05" customHeight="1">
      <c r="B7" s="37"/>
      <c r="C7" s="38">
        <v>1662.7</v>
      </c>
      <c r="D7" s="27"/>
      <c r="E7" s="26">
        <v>93.5</v>
      </c>
      <c r="F7" s="26">
        <v>-69.5</v>
      </c>
      <c r="G7" s="29">
        <f>C7/C6-1</f>
        <v>0</v>
      </c>
      <c r="H7" s="29">
        <f>(E7+F7-C7)/C7</f>
        <v>-0.985565646238047</v>
      </c>
      <c r="I7" s="27"/>
      <c r="J7" s="27"/>
    </row>
    <row r="8" ht="20.05" customHeight="1">
      <c r="B8" s="39">
        <v>2017</v>
      </c>
      <c r="C8" s="38">
        <v>1819.5</v>
      </c>
      <c r="D8" s="27"/>
      <c r="E8" s="26">
        <v>93.5</v>
      </c>
      <c r="F8" s="26">
        <v>27.5</v>
      </c>
      <c r="G8" s="29">
        <f>C8/C7-1</f>
        <v>0.09430444457809591</v>
      </c>
      <c r="H8" s="29">
        <f>(E8+F8-C8)/C8</f>
        <v>-0.933498213794999</v>
      </c>
      <c r="I8" s="27"/>
      <c r="J8" s="27"/>
    </row>
    <row r="9" ht="20.05" customHeight="1">
      <c r="B9" s="37"/>
      <c r="C9" s="38">
        <v>1819.5</v>
      </c>
      <c r="D9" s="27"/>
      <c r="E9" s="26">
        <v>93.5</v>
      </c>
      <c r="F9" s="26">
        <v>27.5</v>
      </c>
      <c r="G9" s="29">
        <f>C9/C8-1</f>
        <v>0</v>
      </c>
      <c r="H9" s="29">
        <f>(E9+F9-C9)/C9</f>
        <v>-0.933498213794999</v>
      </c>
      <c r="I9" s="27"/>
      <c r="J9" s="27"/>
    </row>
    <row r="10" ht="20.05" customHeight="1">
      <c r="B10" s="37"/>
      <c r="C10" s="38">
        <v>1819.5</v>
      </c>
      <c r="D10" s="27"/>
      <c r="E10" s="26">
        <v>93.5</v>
      </c>
      <c r="F10" s="26">
        <v>27.5</v>
      </c>
      <c r="G10" s="29">
        <f>C10/C9-1</f>
        <v>0</v>
      </c>
      <c r="H10" s="29">
        <f>(E10+F10-C10)/C10</f>
        <v>-0.933498213794999</v>
      </c>
      <c r="I10" s="27"/>
      <c r="J10" s="27"/>
    </row>
    <row r="11" ht="20.05" customHeight="1">
      <c r="B11" s="37"/>
      <c r="C11" s="38">
        <v>1819.5</v>
      </c>
      <c r="D11" s="27"/>
      <c r="E11" s="26">
        <v>93.5</v>
      </c>
      <c r="F11" s="26">
        <v>27.5</v>
      </c>
      <c r="G11" s="29">
        <f>C11/C10-1</f>
        <v>0</v>
      </c>
      <c r="H11" s="29">
        <f>(E11+F11-C11)/C11</f>
        <v>-0.933498213794999</v>
      </c>
      <c r="I11" s="29">
        <f>AVERAGE(H8:H11)</f>
        <v>-0.933498213794999</v>
      </c>
      <c r="J11" s="27"/>
    </row>
    <row r="12" ht="20.05" customHeight="1">
      <c r="B12" s="39">
        <v>2018</v>
      </c>
      <c r="C12" s="38">
        <v>1967.575</v>
      </c>
      <c r="D12" s="27"/>
      <c r="E12" s="26">
        <v>86</v>
      </c>
      <c r="F12" s="26">
        <v>44.5</v>
      </c>
      <c r="G12" s="29">
        <f>C12/C11-1</f>
        <v>0.08138224787029399</v>
      </c>
      <c r="H12" s="29">
        <f>(E12+F12-C12)/C12</f>
        <v>-0.933674701091445</v>
      </c>
      <c r="I12" s="29">
        <f>AVERAGE(H9:H12)</f>
        <v>-0.933542335619111</v>
      </c>
      <c r="J12" s="27"/>
    </row>
    <row r="13" ht="20.05" customHeight="1">
      <c r="B13" s="37"/>
      <c r="C13" s="38">
        <v>1967.575</v>
      </c>
      <c r="D13" s="27"/>
      <c r="E13" s="26">
        <v>86</v>
      </c>
      <c r="F13" s="26">
        <v>44.5</v>
      </c>
      <c r="G13" s="29">
        <f>C13/C12-1</f>
        <v>0</v>
      </c>
      <c r="H13" s="29">
        <f>(E13+F13-C13)/C13</f>
        <v>-0.933674701091445</v>
      </c>
      <c r="I13" s="29">
        <f>AVERAGE(H10:H13)</f>
        <v>-0.933586457443222</v>
      </c>
      <c r="J13" s="27"/>
    </row>
    <row r="14" ht="20.05" customHeight="1">
      <c r="B14" s="37"/>
      <c r="C14" s="38">
        <v>2121.75</v>
      </c>
      <c r="D14" s="27"/>
      <c r="E14" s="26">
        <v>85</v>
      </c>
      <c r="F14" s="26">
        <v>25</v>
      </c>
      <c r="G14" s="29">
        <f>C14/C13-1</f>
        <v>0.0783578770821951</v>
      </c>
      <c r="H14" s="29">
        <f>(E14+F14-C14)/C14</f>
        <v>-0.9481560032991631</v>
      </c>
      <c r="I14" s="29">
        <f>AVERAGE(H11:H14)</f>
        <v>-0.937250904819263</v>
      </c>
      <c r="J14" s="27"/>
    </row>
    <row r="15" ht="20.05" customHeight="1">
      <c r="B15" s="37"/>
      <c r="C15" s="38">
        <v>2293.6</v>
      </c>
      <c r="D15" s="27"/>
      <c r="E15" s="26">
        <v>88</v>
      </c>
      <c r="F15" s="26">
        <v>67</v>
      </c>
      <c r="G15" s="29">
        <f>C15/C14-1</f>
        <v>0.0809944621185342</v>
      </c>
      <c r="H15" s="29">
        <f>(E15+F15-C15)/C15</f>
        <v>-0.932420648761772</v>
      </c>
      <c r="I15" s="29">
        <f>AVERAGE(H12:H15)</f>
        <v>-0.936981513560956</v>
      </c>
      <c r="J15" s="27"/>
    </row>
    <row r="16" ht="20.05" customHeight="1">
      <c r="B16" s="39">
        <v>2019</v>
      </c>
      <c r="C16" s="38">
        <v>2017.7</v>
      </c>
      <c r="D16" s="27"/>
      <c r="E16" s="26">
        <v>48</v>
      </c>
      <c r="F16" s="26">
        <v>99.59999999999999</v>
      </c>
      <c r="G16" s="29">
        <f>C16/C15-1</f>
        <v>-0.120291245204046</v>
      </c>
      <c r="H16" s="29">
        <f>(E16+F16-C16)/C16</f>
        <v>-0.9268474005055261</v>
      </c>
      <c r="I16" s="29">
        <f>AVERAGE(H13:H16)</f>
        <v>-0.935274688414477</v>
      </c>
      <c r="J16" s="29"/>
    </row>
    <row r="17" ht="20.05" customHeight="1">
      <c r="B17" s="37"/>
      <c r="C17" s="38">
        <v>2104.7</v>
      </c>
      <c r="D17" s="27"/>
      <c r="E17" s="26">
        <v>118.5</v>
      </c>
      <c r="F17" s="26">
        <v>77</v>
      </c>
      <c r="G17" s="29">
        <f>C17/C16-1</f>
        <v>0.0431184021410517</v>
      </c>
      <c r="H17" s="29">
        <f>(E17+F17-C17)/C17</f>
        <v>-0.90711265263458</v>
      </c>
      <c r="I17" s="29">
        <f>AVERAGE(H14:H17)</f>
        <v>-0.92863417630026</v>
      </c>
      <c r="J17" s="29"/>
    </row>
    <row r="18" ht="20.05" customHeight="1">
      <c r="B18" s="37"/>
      <c r="C18" s="38">
        <v>2045.1</v>
      </c>
      <c r="D18" s="27"/>
      <c r="E18" s="26">
        <v>88</v>
      </c>
      <c r="F18" s="26">
        <v>175</v>
      </c>
      <c r="G18" s="29">
        <f>C18/C17-1</f>
        <v>-0.0283175749512995</v>
      </c>
      <c r="H18" s="29">
        <f>(E18+F18-C18)/C18</f>
        <v>-0.87139993154369</v>
      </c>
      <c r="I18" s="29">
        <f>AVERAGE(H15:H18)</f>
        <v>-0.9094451583613919</v>
      </c>
      <c r="J18" s="29"/>
    </row>
    <row r="19" ht="20.05" customHeight="1">
      <c r="B19" s="37"/>
      <c r="C19" s="38">
        <v>2265.5</v>
      </c>
      <c r="D19" s="40">
        <v>2064.24</v>
      </c>
      <c r="E19" s="26">
        <v>88</v>
      </c>
      <c r="F19" s="26">
        <v>70</v>
      </c>
      <c r="G19" s="29">
        <f>C19/C18-1</f>
        <v>0.107769791208254</v>
      </c>
      <c r="H19" s="29">
        <f>(E19+F19-C19)/C19</f>
        <v>-0.930258221143235</v>
      </c>
      <c r="I19" s="29">
        <f>AVERAGE(H16:H19)</f>
        <v>-0.908904551456758</v>
      </c>
      <c r="J19" s="29"/>
    </row>
    <row r="20" ht="20.05" customHeight="1">
      <c r="B20" s="39">
        <v>2020</v>
      </c>
      <c r="C20" s="38">
        <v>2047.17</v>
      </c>
      <c r="D20" s="40">
        <v>2209.935</v>
      </c>
      <c r="E20" s="26">
        <v>367</v>
      </c>
      <c r="F20" s="26">
        <v>-131.46</v>
      </c>
      <c r="G20" s="29">
        <f>C20/C19-1</f>
        <v>-0.0963716618847936</v>
      </c>
      <c r="H20" s="29">
        <f>(E20+F20-C20)/C20</f>
        <v>-0.884943605074322</v>
      </c>
      <c r="I20" s="29">
        <f>AVERAGE(H17:H20)</f>
        <v>-0.898428602598957</v>
      </c>
      <c r="J20" s="29"/>
    </row>
    <row r="21" ht="20.05" customHeight="1">
      <c r="B21" s="37"/>
      <c r="C21" s="38">
        <f>4124-C20</f>
        <v>2076.83</v>
      </c>
      <c r="D21" s="40">
        <v>1999.465</v>
      </c>
      <c r="E21" s="26">
        <v>-86.5</v>
      </c>
      <c r="F21" s="26">
        <v>95</v>
      </c>
      <c r="G21" s="29">
        <f>C21/C20-1</f>
        <v>0.014488293595549</v>
      </c>
      <c r="H21" s="29">
        <f>(E21+F21-C21)/C21</f>
        <v>-0.995907223990408</v>
      </c>
      <c r="I21" s="29">
        <f>AVERAGE(H18:H21)</f>
        <v>-0.920627245437914</v>
      </c>
      <c r="J21" s="29"/>
    </row>
    <row r="22" ht="20.05" customHeight="1">
      <c r="B22" s="37"/>
      <c r="C22" s="38">
        <f>6203-SUM(C20:C21)</f>
        <v>2079</v>
      </c>
      <c r="D22" s="40">
        <v>2097.5983</v>
      </c>
      <c r="E22" s="26">
        <v>188.5</v>
      </c>
      <c r="F22" s="26">
        <v>236.46</v>
      </c>
      <c r="G22" s="29">
        <f>C22/C21-1</f>
        <v>0.00104486164009572</v>
      </c>
      <c r="H22" s="29">
        <f>(E22+F22-C22)/C22</f>
        <v>-0.795594035594036</v>
      </c>
      <c r="I22" s="29">
        <f>AVERAGE(H19:H22)</f>
        <v>-0.9016757714505</v>
      </c>
      <c r="J22" s="29"/>
    </row>
    <row r="23" ht="20.05" customHeight="1">
      <c r="B23" s="37"/>
      <c r="C23" s="38">
        <v>2231</v>
      </c>
      <c r="D23" s="40">
        <v>2186.38</v>
      </c>
      <c r="E23" s="26">
        <v>109</v>
      </c>
      <c r="F23" s="26">
        <v>112</v>
      </c>
      <c r="G23" s="29">
        <f>C23/C22-1</f>
        <v>0.0731120731120731</v>
      </c>
      <c r="H23" s="29">
        <f>(E23+F23-C23)/C23</f>
        <v>-0.900941281936351</v>
      </c>
      <c r="I23" s="29">
        <f>AVERAGE(H20:H23)</f>
        <v>-0.8943465366487789</v>
      </c>
      <c r="J23" s="29"/>
    </row>
    <row r="24" ht="20.05" customHeight="1">
      <c r="B24" s="39">
        <v>2021</v>
      </c>
      <c r="C24" s="25">
        <v>2104</v>
      </c>
      <c r="D24" s="40">
        <v>2186.38</v>
      </c>
      <c r="E24" s="41">
        <v>111</v>
      </c>
      <c r="F24" s="26">
        <v>103</v>
      </c>
      <c r="G24" s="29">
        <f>C24/C23-1</f>
        <v>-0.0569251456745854</v>
      </c>
      <c r="H24" s="29">
        <f>(E24+F24-C24)/C24</f>
        <v>-0.89828897338403</v>
      </c>
      <c r="I24" s="29">
        <f>AVERAGE(H21:H24)</f>
        <v>-0.897682878726206</v>
      </c>
      <c r="J24" s="29"/>
    </row>
    <row r="25" ht="20.05" customHeight="1">
      <c r="B25" s="37"/>
      <c r="C25" s="25">
        <f>4454.8-C24</f>
        <v>2350.8</v>
      </c>
      <c r="D25" s="26">
        <v>2188</v>
      </c>
      <c r="E25" s="26">
        <f>43.7+186.1-E24</f>
        <v>118.8</v>
      </c>
      <c r="F25" s="26">
        <f>243.4-F24</f>
        <v>140.4</v>
      </c>
      <c r="G25" s="29">
        <f>C25/C24-1</f>
        <v>0.117300380228137</v>
      </c>
      <c r="H25" s="29">
        <f>(E25+F25-C25)/C25</f>
        <v>-0.889739663093415</v>
      </c>
      <c r="I25" s="29">
        <f>AVERAGE(H22:H25)</f>
        <v>-0.871140988501958</v>
      </c>
      <c r="J25" s="29"/>
    </row>
    <row r="26" ht="20.05" customHeight="1">
      <c r="B26" s="37"/>
      <c r="C26" s="25">
        <f>6698.9-SUM(C24:C25)</f>
        <v>2244.1</v>
      </c>
      <c r="D26" s="40">
        <v>2375.318</v>
      </c>
      <c r="E26" s="41">
        <f>65.6+282.2-SUM(E24:E25)</f>
        <v>118</v>
      </c>
      <c r="F26" s="26">
        <f>378.4-SUM(F24:F25)</f>
        <v>135</v>
      </c>
      <c r="G26" s="29">
        <f>C26/C25-1</f>
        <v>-0.0453888038114684</v>
      </c>
      <c r="H26" s="29">
        <f>(E26+F26-C26)/C26</f>
        <v>-0.887259926028252</v>
      </c>
      <c r="I26" s="29">
        <f>AVERAGE(H23:H26)</f>
        <v>-0.894057461110512</v>
      </c>
      <c r="J26" s="29"/>
    </row>
    <row r="27" ht="20.05" customHeight="1">
      <c r="B27" s="37"/>
      <c r="C27" s="25">
        <f>9116.6-SUM(C24:C26)</f>
        <v>2417.7</v>
      </c>
      <c r="D27" s="40">
        <v>2356.305</v>
      </c>
      <c r="E27" s="26">
        <f>87.5+379.1-SUM(E24:E26)</f>
        <v>118.8</v>
      </c>
      <c r="F27" s="26">
        <f>475.1-SUM(F24:F26)</f>
        <v>96.7</v>
      </c>
      <c r="G27" s="29">
        <f>C27/C26-1</f>
        <v>0.07735840648812441</v>
      </c>
      <c r="H27" s="29">
        <f>(E27+F27-C27)/C27</f>
        <v>-0.910865698804649</v>
      </c>
      <c r="I27" s="29">
        <f>AVERAGE(H24:H27)</f>
        <v>-0.896538565327587</v>
      </c>
      <c r="J27" s="29"/>
    </row>
    <row r="28" ht="20.05" customHeight="1">
      <c r="B28" s="39">
        <v>2022</v>
      </c>
      <c r="C28" s="25">
        <v>2547</v>
      </c>
      <c r="D28" s="40">
        <v>2345.169</v>
      </c>
      <c r="E28" s="41">
        <v>121</v>
      </c>
      <c r="F28" s="26">
        <v>89</v>
      </c>
      <c r="G28" s="29">
        <f>C28/C27-1</f>
        <v>0.0534805807172106</v>
      </c>
      <c r="H28" s="29">
        <f>(E28+F28-C28)/C28</f>
        <v>-0.917550058892815</v>
      </c>
      <c r="I28" s="29">
        <f>AVERAGE(H25:H28)</f>
        <v>-0.901353836704783</v>
      </c>
      <c r="J28" s="29">
        <v>-0.894057461110512</v>
      </c>
    </row>
    <row r="29" ht="20.05" customHeight="1">
      <c r="B29" s="37"/>
      <c r="C29" s="25"/>
      <c r="D29" s="40">
        <f>'Model'!C6</f>
        <v>2648.88</v>
      </c>
      <c r="E29" s="27"/>
      <c r="F29" s="27"/>
      <c r="G29" s="29"/>
      <c r="H29" s="29"/>
      <c r="I29" s="29"/>
      <c r="J29" s="29">
        <f>'Model'!C7</f>
        <v>-0.901353836704783</v>
      </c>
    </row>
    <row r="30" ht="20.05" customHeight="1">
      <c r="B30" s="37"/>
      <c r="C30" s="25"/>
      <c r="D30" s="40">
        <f>'Model'!D6</f>
        <v>2675.3688</v>
      </c>
      <c r="E30" s="27"/>
      <c r="F30" s="27"/>
      <c r="G30" s="29"/>
      <c r="H30" s="29"/>
      <c r="I30" s="29"/>
      <c r="J30" s="29"/>
    </row>
    <row r="31" ht="20.05" customHeight="1">
      <c r="B31" s="37"/>
      <c r="C31" s="25"/>
      <c r="D31" s="40">
        <f>'Model'!E6</f>
        <v>2755.629864</v>
      </c>
      <c r="E31" s="40">
        <f>SUM(C19:C28)</f>
        <v>22363.1</v>
      </c>
      <c r="F31" s="40">
        <f>SUM(D19:D28)</f>
        <v>22008.7903</v>
      </c>
      <c r="G31" s="29"/>
      <c r="H31" s="29"/>
      <c r="I31" s="29"/>
      <c r="J31" s="29"/>
    </row>
    <row r="32" ht="20.05" customHeight="1">
      <c r="B32" s="39">
        <v>2023</v>
      </c>
      <c r="C32" s="25"/>
      <c r="D32" s="40">
        <f>'Model'!F6</f>
        <v>2728.07356536</v>
      </c>
      <c r="E32" s="27"/>
      <c r="F32" s="27"/>
      <c r="G32" s="29"/>
      <c r="H32" s="29"/>
      <c r="I32" s="29"/>
      <c r="J32" s="29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6875" style="42" customWidth="1"/>
    <col min="2" max="2" width="8" style="42" customWidth="1"/>
    <col min="3" max="3" width="10.625" style="42" customWidth="1"/>
    <col min="4" max="4" width="10.0703" style="42" customWidth="1"/>
    <col min="5" max="5" width="11.3906" style="42" customWidth="1"/>
    <col min="6" max="6" width="10.1875" style="42" customWidth="1"/>
    <col min="7" max="7" width="9.67188" style="42" customWidth="1"/>
    <col min="8" max="9" width="8.50781" style="42" customWidth="1"/>
    <col min="10" max="10" width="10.1875" style="42" customWidth="1"/>
    <col min="11" max="15" width="10.2812" style="42" customWidth="1"/>
    <col min="16" max="16384" width="16.3516" style="42" customWidth="1"/>
  </cols>
  <sheetData>
    <row r="1" ht="32.85" customHeight="1"/>
    <row r="2" ht="27.65" customHeight="1">
      <c r="B2" t="s" s="2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3.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12</v>
      </c>
      <c r="H3" t="s" s="5">
        <v>15</v>
      </c>
      <c r="I3" t="s" s="5">
        <v>51</v>
      </c>
      <c r="J3" t="s" s="5">
        <v>52</v>
      </c>
      <c r="K3" t="s" s="5">
        <v>35</v>
      </c>
      <c r="L3" t="s" s="5">
        <v>37</v>
      </c>
      <c r="M3" t="s" s="5">
        <v>31</v>
      </c>
      <c r="N3" t="s" s="5">
        <v>37</v>
      </c>
      <c r="O3" s="43"/>
    </row>
    <row r="4" ht="20.05" customHeight="1">
      <c r="B4" s="31">
        <v>2016</v>
      </c>
      <c r="C4" s="44"/>
      <c r="D4" s="34">
        <v>65.5</v>
      </c>
      <c r="E4" s="34">
        <v>-20.45</v>
      </c>
      <c r="F4" s="34"/>
      <c r="G4" s="34"/>
      <c r="H4" s="34"/>
      <c r="I4" s="34">
        <v>66.125</v>
      </c>
      <c r="J4" s="34">
        <f>D4+E4+F4</f>
        <v>45.05</v>
      </c>
      <c r="K4" s="34"/>
      <c r="L4" s="34"/>
      <c r="M4" s="34">
        <f>-(I4-F4)</f>
        <v>-66.125</v>
      </c>
      <c r="N4" s="34"/>
      <c r="O4" s="34">
        <v>1</v>
      </c>
    </row>
    <row r="5" ht="20.05" customHeight="1">
      <c r="B5" s="37"/>
      <c r="C5" s="19"/>
      <c r="D5" s="26">
        <v>65.5</v>
      </c>
      <c r="E5" s="26">
        <v>-20.45</v>
      </c>
      <c r="F5" s="26"/>
      <c r="G5" s="26"/>
      <c r="H5" s="26"/>
      <c r="I5" s="26">
        <v>66.125</v>
      </c>
      <c r="J5" s="26">
        <f>D5+E5+F5</f>
        <v>45.05</v>
      </c>
      <c r="K5" s="26"/>
      <c r="L5" s="26"/>
      <c r="M5" s="26">
        <f>-(I5-F5)+M4</f>
        <v>-132.25</v>
      </c>
      <c r="N5" s="26"/>
      <c r="O5" s="26">
        <f>1+O4</f>
        <v>2</v>
      </c>
    </row>
    <row r="6" ht="20.05" customHeight="1">
      <c r="B6" s="37"/>
      <c r="C6" s="19"/>
      <c r="D6" s="26">
        <v>65.5</v>
      </c>
      <c r="E6" s="26">
        <v>-20.45</v>
      </c>
      <c r="F6" s="26"/>
      <c r="G6" s="26"/>
      <c r="H6" s="26"/>
      <c r="I6" s="26">
        <v>66.125</v>
      </c>
      <c r="J6" s="26">
        <f>D6+E6+F6</f>
        <v>45.05</v>
      </c>
      <c r="K6" s="26"/>
      <c r="L6" s="26"/>
      <c r="M6" s="26">
        <f>-(I6-F6)+M5</f>
        <v>-198.375</v>
      </c>
      <c r="N6" s="26"/>
      <c r="O6" s="26">
        <f>1+O5</f>
        <v>3</v>
      </c>
    </row>
    <row r="7" ht="20.05" customHeight="1">
      <c r="B7" s="37"/>
      <c r="C7" s="19"/>
      <c r="D7" s="26">
        <v>65.5</v>
      </c>
      <c r="E7" s="26">
        <v>-20.45</v>
      </c>
      <c r="F7" s="26"/>
      <c r="G7" s="26"/>
      <c r="H7" s="26"/>
      <c r="I7" s="26">
        <v>66.125</v>
      </c>
      <c r="J7" s="26">
        <f>D7+E7+F7</f>
        <v>45.05</v>
      </c>
      <c r="K7" s="26">
        <f>AVERAGE(J4:J7)</f>
        <v>45.05</v>
      </c>
      <c r="L7" s="26"/>
      <c r="M7" s="26">
        <f>-(I7-F7)+M6</f>
        <v>-264.5</v>
      </c>
      <c r="N7" s="26"/>
      <c r="O7" s="26">
        <f>1+O6</f>
        <v>4</v>
      </c>
    </row>
    <row r="8" ht="20.05" customHeight="1">
      <c r="B8" s="39">
        <v>2017</v>
      </c>
      <c r="C8" s="19"/>
      <c r="D8" s="26">
        <v>197.95</v>
      </c>
      <c r="E8" s="26">
        <v>-19.9625</v>
      </c>
      <c r="F8" s="26"/>
      <c r="G8" s="26"/>
      <c r="H8" s="26"/>
      <c r="I8" s="26">
        <v>-115.9725</v>
      </c>
      <c r="J8" s="26">
        <f>D8+E8+F8</f>
        <v>177.9875</v>
      </c>
      <c r="K8" s="26">
        <f>AVERAGE(J5:J8)</f>
        <v>78.284375</v>
      </c>
      <c r="L8" s="26"/>
      <c r="M8" s="26">
        <f>-(I8-F8)+M7</f>
        <v>-148.5275</v>
      </c>
      <c r="N8" s="26"/>
      <c r="O8" s="26">
        <f>1+O7</f>
        <v>5</v>
      </c>
    </row>
    <row r="9" ht="20.05" customHeight="1">
      <c r="B9" s="37"/>
      <c r="C9" s="19"/>
      <c r="D9" s="26">
        <v>197.95</v>
      </c>
      <c r="E9" s="26">
        <v>-19.9625</v>
      </c>
      <c r="F9" s="26"/>
      <c r="G9" s="26"/>
      <c r="H9" s="26"/>
      <c r="I9" s="26">
        <v>-115.9725</v>
      </c>
      <c r="J9" s="26">
        <f>D9+E9+F9</f>
        <v>177.9875</v>
      </c>
      <c r="K9" s="26">
        <f>AVERAGE(J6:J9)</f>
        <v>111.51875</v>
      </c>
      <c r="L9" s="26"/>
      <c r="M9" s="26">
        <f>-(I9-F9)+M8</f>
        <v>-32.555</v>
      </c>
      <c r="N9" s="26"/>
      <c r="O9" s="26">
        <f>1+O8</f>
        <v>6</v>
      </c>
    </row>
    <row r="10" ht="20.05" customHeight="1">
      <c r="B10" s="37"/>
      <c r="C10" s="19"/>
      <c r="D10" s="26">
        <v>197.95</v>
      </c>
      <c r="E10" s="26">
        <v>-19.9625</v>
      </c>
      <c r="F10" s="26"/>
      <c r="G10" s="26"/>
      <c r="H10" s="26"/>
      <c r="I10" s="26">
        <v>-115.9725</v>
      </c>
      <c r="J10" s="26">
        <f>D10+E10+F10</f>
        <v>177.9875</v>
      </c>
      <c r="K10" s="26">
        <f>AVERAGE(J7:J10)</f>
        <v>144.753125</v>
      </c>
      <c r="L10" s="26"/>
      <c r="M10" s="26">
        <f>-(I10-F10)+M9</f>
        <v>83.4175</v>
      </c>
      <c r="N10" s="26"/>
      <c r="O10" s="26">
        <f>1+O9</f>
        <v>7</v>
      </c>
    </row>
    <row r="11" ht="20.05" customHeight="1">
      <c r="B11" s="37"/>
      <c r="C11" s="19"/>
      <c r="D11" s="26">
        <v>197.95</v>
      </c>
      <c r="E11" s="26">
        <v>-19.9625</v>
      </c>
      <c r="F11" s="26"/>
      <c r="G11" s="26"/>
      <c r="H11" s="26"/>
      <c r="I11" s="26">
        <v>-115.9725</v>
      </c>
      <c r="J11" s="26">
        <f>D11+E11+F11</f>
        <v>177.9875</v>
      </c>
      <c r="K11" s="26">
        <f>AVERAGE(J8:J11)</f>
        <v>177.9875</v>
      </c>
      <c r="L11" s="26"/>
      <c r="M11" s="26">
        <f>-(I11-F11)+M10</f>
        <v>199.39</v>
      </c>
      <c r="N11" s="26"/>
      <c r="O11" s="26">
        <f>1+O10</f>
        <v>8</v>
      </c>
    </row>
    <row r="12" ht="20.05" customHeight="1">
      <c r="B12" s="39">
        <v>2018</v>
      </c>
      <c r="C12" s="19"/>
      <c r="D12" s="26">
        <v>316.3</v>
      </c>
      <c r="E12" s="26">
        <v>-5.6</v>
      </c>
      <c r="F12" s="26"/>
      <c r="G12" s="26">
        <v>-123.015</v>
      </c>
      <c r="H12" s="26">
        <v>0</v>
      </c>
      <c r="I12" s="26">
        <v>-160.565</v>
      </c>
      <c r="J12" s="26">
        <f>D12+E12+F12</f>
        <v>310.7</v>
      </c>
      <c r="K12" s="26">
        <f>AVERAGE(J9:J12)</f>
        <v>211.165625</v>
      </c>
      <c r="L12" s="26"/>
      <c r="M12" s="26">
        <f>-(I12-F12)+M11</f>
        <v>359.955</v>
      </c>
      <c r="N12" s="26"/>
      <c r="O12" s="26">
        <f>1+O11</f>
        <v>9</v>
      </c>
    </row>
    <row r="13" ht="20.05" customHeight="1">
      <c r="B13" s="37"/>
      <c r="C13" s="19"/>
      <c r="D13" s="26">
        <v>316.3</v>
      </c>
      <c r="E13" s="26">
        <v>-5.6</v>
      </c>
      <c r="F13" s="26"/>
      <c r="G13" s="26">
        <v>-123.015</v>
      </c>
      <c r="H13" s="26">
        <v>0</v>
      </c>
      <c r="I13" s="26">
        <v>-160.565</v>
      </c>
      <c r="J13" s="26">
        <f>D13+E13+F13</f>
        <v>310.7</v>
      </c>
      <c r="K13" s="26">
        <f>AVERAGE(J10:J13)</f>
        <v>244.34375</v>
      </c>
      <c r="L13" s="26"/>
      <c r="M13" s="26">
        <f>-(I13-F13)+M12</f>
        <v>520.52</v>
      </c>
      <c r="N13" s="26"/>
      <c r="O13" s="26">
        <f>1+O12</f>
        <v>10</v>
      </c>
    </row>
    <row r="14" ht="20.05" customHeight="1">
      <c r="B14" s="37"/>
      <c r="C14" s="19"/>
      <c r="D14" s="26">
        <v>148.2</v>
      </c>
      <c r="E14" s="26">
        <v>-85.8</v>
      </c>
      <c r="F14" s="26"/>
      <c r="G14" s="26">
        <v>-123.015</v>
      </c>
      <c r="H14" s="26">
        <v>0</v>
      </c>
      <c r="I14" s="26">
        <v>-179.07</v>
      </c>
      <c r="J14" s="26">
        <f>D14+E14+F14</f>
        <v>62.4</v>
      </c>
      <c r="K14" s="26">
        <f>AVERAGE(J11:J14)</f>
        <v>215.446875</v>
      </c>
      <c r="L14" s="26"/>
      <c r="M14" s="26">
        <f>-(I14-F14)+M13</f>
        <v>699.59</v>
      </c>
      <c r="N14" s="26"/>
      <c r="O14" s="26">
        <f>1+O13</f>
        <v>11</v>
      </c>
    </row>
    <row r="15" ht="20.05" customHeight="1">
      <c r="B15" s="37"/>
      <c r="C15" s="19"/>
      <c r="D15" s="26">
        <v>-128.9</v>
      </c>
      <c r="E15" s="26">
        <v>-38</v>
      </c>
      <c r="F15" s="26"/>
      <c r="G15" s="26">
        <v>-123.015</v>
      </c>
      <c r="H15" s="26">
        <v>0</v>
      </c>
      <c r="I15" s="26">
        <v>8.199999999999999</v>
      </c>
      <c r="J15" s="26">
        <f>D15+E15+F15</f>
        <v>-166.9</v>
      </c>
      <c r="K15" s="26">
        <f>AVERAGE(J12:J15)</f>
        <v>129.225</v>
      </c>
      <c r="L15" s="26"/>
      <c r="M15" s="26">
        <f>-(I15-F15)+M14</f>
        <v>691.39</v>
      </c>
      <c r="N15" s="26"/>
      <c r="O15" s="26">
        <f>1+O14</f>
        <v>12</v>
      </c>
    </row>
    <row r="16" ht="20.05" customHeight="1">
      <c r="B16" s="39">
        <v>2019</v>
      </c>
      <c r="C16" s="25">
        <v>2043</v>
      </c>
      <c r="D16" s="26">
        <v>108.6</v>
      </c>
      <c r="E16" s="26">
        <v>-19.3</v>
      </c>
      <c r="F16" s="26"/>
      <c r="G16" s="26">
        <v>-128.29275</v>
      </c>
      <c r="H16" s="26">
        <v>311.74275</v>
      </c>
      <c r="I16" s="26">
        <v>-6.9</v>
      </c>
      <c r="J16" s="26">
        <f>D16+E16+F16</f>
        <v>89.3</v>
      </c>
      <c r="K16" s="26">
        <f>AVERAGE(J13:J16)</f>
        <v>73.875</v>
      </c>
      <c r="L16" s="26"/>
      <c r="M16" s="26">
        <f>-(I16-F16)+M15</f>
        <v>698.29</v>
      </c>
      <c r="N16" s="26"/>
      <c r="O16" s="26">
        <f>1+O15</f>
        <v>13</v>
      </c>
    </row>
    <row r="17" ht="20.05" customHeight="1">
      <c r="B17" s="37"/>
      <c r="C17" s="25">
        <v>2903</v>
      </c>
      <c r="D17" s="26">
        <v>211.8</v>
      </c>
      <c r="E17" s="26">
        <v>-21.3</v>
      </c>
      <c r="F17" s="26"/>
      <c r="G17" s="26">
        <v>-128.29275</v>
      </c>
      <c r="H17" s="26">
        <v>311.74275</v>
      </c>
      <c r="I17" s="26">
        <v>-20.1</v>
      </c>
      <c r="J17" s="26">
        <f>D17+E17+F17</f>
        <v>190.5</v>
      </c>
      <c r="K17" s="26">
        <f>AVERAGE(J14:J17)</f>
        <v>43.825</v>
      </c>
      <c r="L17" s="26"/>
      <c r="M17" s="26">
        <f>-(I17-F17)+M16</f>
        <v>718.39</v>
      </c>
      <c r="N17" s="26"/>
      <c r="O17" s="26">
        <f>1+O16</f>
        <v>14</v>
      </c>
    </row>
    <row r="18" ht="20.05" customHeight="1">
      <c r="B18" s="37"/>
      <c r="C18" s="25">
        <v>2184</v>
      </c>
      <c r="D18" s="26">
        <v>-27.8</v>
      </c>
      <c r="E18" s="26">
        <v>53</v>
      </c>
      <c r="F18" s="26"/>
      <c r="G18" s="26">
        <v>-128.29275</v>
      </c>
      <c r="H18" s="26">
        <v>311.74275</v>
      </c>
      <c r="I18" s="26">
        <v>27</v>
      </c>
      <c r="J18" s="26">
        <f>D18+E18+F18</f>
        <v>25.2</v>
      </c>
      <c r="K18" s="26">
        <f>AVERAGE(J15:J18)</f>
        <v>34.525</v>
      </c>
      <c r="L18" s="26"/>
      <c r="M18" s="26">
        <f>-(I18-F18)+M17</f>
        <v>691.39</v>
      </c>
      <c r="N18" s="26"/>
      <c r="O18" s="26">
        <f>1+O17</f>
        <v>15</v>
      </c>
    </row>
    <row r="19" ht="20.05" customHeight="1">
      <c r="B19" s="37"/>
      <c r="C19" s="25">
        <v>2238</v>
      </c>
      <c r="D19" s="26">
        <v>-181.6</v>
      </c>
      <c r="E19" s="26">
        <v>-10.4</v>
      </c>
      <c r="F19" s="26"/>
      <c r="G19" s="26">
        <v>-128.29275</v>
      </c>
      <c r="H19" s="26">
        <v>311.74275</v>
      </c>
      <c r="I19" s="26">
        <v>734</v>
      </c>
      <c r="J19" s="26">
        <f>D19+E19+F19</f>
        <v>-192</v>
      </c>
      <c r="K19" s="26">
        <f>AVERAGE(J16:J19)</f>
        <v>28.25</v>
      </c>
      <c r="L19" s="26"/>
      <c r="M19" s="26">
        <f>-(I19-F19)+M18</f>
        <v>-42.61</v>
      </c>
      <c r="N19" s="26"/>
      <c r="O19" s="26">
        <f>1+O18</f>
        <v>16</v>
      </c>
    </row>
    <row r="20" ht="20.05" customHeight="1">
      <c r="B20" s="39">
        <v>2020</v>
      </c>
      <c r="C20" s="25">
        <v>2463</v>
      </c>
      <c r="D20" s="26">
        <v>350</v>
      </c>
      <c r="E20" s="26">
        <v>-406</v>
      </c>
      <c r="F20" s="26">
        <v>-20.37975</v>
      </c>
      <c r="G20" s="26">
        <v>-355.7525</v>
      </c>
      <c r="H20" s="26">
        <v>-24.94275</v>
      </c>
      <c r="I20" s="26">
        <v>-369.7</v>
      </c>
      <c r="J20" s="26">
        <f>D20+E20+F20</f>
        <v>-76.37975</v>
      </c>
      <c r="K20" s="26">
        <f>AVERAGE(J17:J20)</f>
        <v>-13.1699375</v>
      </c>
      <c r="L20" s="26"/>
      <c r="M20" s="26">
        <f>-(I20-F20)+M19</f>
        <v>306.71025</v>
      </c>
      <c r="N20" s="26"/>
      <c r="O20" s="26">
        <f>1+O19</f>
        <v>17</v>
      </c>
    </row>
    <row r="21" ht="20.05" customHeight="1">
      <c r="B21" s="37"/>
      <c r="C21" s="25">
        <v>2525</v>
      </c>
      <c r="D21" s="26">
        <v>38.9</v>
      </c>
      <c r="E21" s="26">
        <v>-24.9</v>
      </c>
      <c r="F21" s="26">
        <v>-20.37975</v>
      </c>
      <c r="G21" s="26">
        <v>-355.7525</v>
      </c>
      <c r="H21" s="26">
        <v>-24.94275</v>
      </c>
      <c r="I21" s="26">
        <v>-144.3</v>
      </c>
      <c r="J21" s="26">
        <f>D21+E21+F21</f>
        <v>-6.37975</v>
      </c>
      <c r="K21" s="26">
        <f>AVERAGE(J18:J21)</f>
        <v>-62.389875</v>
      </c>
      <c r="L21" s="26"/>
      <c r="M21" s="26">
        <f>-(I21-F21)+M20</f>
        <v>430.6305</v>
      </c>
      <c r="N21" s="26"/>
      <c r="O21" s="26">
        <f>1+O20</f>
        <v>18</v>
      </c>
    </row>
    <row r="22" ht="20.05" customHeight="1">
      <c r="B22" s="37"/>
      <c r="C22" s="25">
        <v>2671</v>
      </c>
      <c r="D22" s="26">
        <f>695-SUM(D20:D21)</f>
        <v>306.1</v>
      </c>
      <c r="E22" s="26">
        <f>-46-SUM(E20:E21)</f>
        <v>384.9</v>
      </c>
      <c r="F22" s="26">
        <v>-20.37975</v>
      </c>
      <c r="G22" s="26">
        <v>-355.7525</v>
      </c>
      <c r="H22" s="26">
        <v>-24.94275</v>
      </c>
      <c r="I22" s="26">
        <f>-712-SUM(I20:I21)</f>
        <v>-198</v>
      </c>
      <c r="J22" s="26">
        <f>D22+E22+F22</f>
        <v>670.6202500000001</v>
      </c>
      <c r="K22" s="26">
        <f>AVERAGE(J19:J22)</f>
        <v>98.9651875</v>
      </c>
      <c r="L22" s="26"/>
      <c r="M22" s="26">
        <f>-(I22-F22)+M21</f>
        <v>608.25075</v>
      </c>
      <c r="N22" s="26"/>
      <c r="O22" s="26">
        <f>1+O21</f>
        <v>19</v>
      </c>
    </row>
    <row r="23" ht="20.05" customHeight="1">
      <c r="B23" s="37"/>
      <c r="C23" s="25">
        <v>2977</v>
      </c>
      <c r="D23" s="26">
        <v>646</v>
      </c>
      <c r="E23" s="26">
        <v>-250</v>
      </c>
      <c r="F23" s="26">
        <v>-20.37975</v>
      </c>
      <c r="G23" s="26">
        <v>-355.7525</v>
      </c>
      <c r="H23" s="26">
        <v>-24.94275</v>
      </c>
      <c r="I23" s="26">
        <v>-892</v>
      </c>
      <c r="J23" s="26">
        <f>D23+E23+F23</f>
        <v>375.62025</v>
      </c>
      <c r="K23" s="26">
        <f>AVERAGE(J20:J23)</f>
        <v>240.87025</v>
      </c>
      <c r="L23" s="26"/>
      <c r="M23" s="26">
        <f>-(I23-F23)+M22</f>
        <v>1479.871</v>
      </c>
      <c r="N23" s="26"/>
      <c r="O23" s="26">
        <f>1+O22</f>
        <v>20</v>
      </c>
    </row>
    <row r="24" ht="20.05" customHeight="1">
      <c r="B24" s="39">
        <v>2021</v>
      </c>
      <c r="C24" s="25">
        <v>1898</v>
      </c>
      <c r="D24" s="26">
        <v>288</v>
      </c>
      <c r="E24" s="26">
        <v>-44</v>
      </c>
      <c r="F24" s="26">
        <v>-21.692</v>
      </c>
      <c r="G24" s="26">
        <f>-247.861-F24</f>
        <v>-226.169</v>
      </c>
      <c r="H24" s="26">
        <v>0</v>
      </c>
      <c r="I24" s="26">
        <v>-248</v>
      </c>
      <c r="J24" s="26">
        <f>D24+E24+F24</f>
        <v>222.308</v>
      </c>
      <c r="K24" s="26">
        <f>AVERAGE(J21:J24)</f>
        <v>315.5421875</v>
      </c>
      <c r="L24" s="26"/>
      <c r="M24" s="26">
        <f>-(G24+H24)+M23</f>
        <v>1706.04</v>
      </c>
      <c r="N24" s="26"/>
      <c r="O24" s="26">
        <f>1+O23</f>
        <v>21</v>
      </c>
    </row>
    <row r="25" ht="20.05" customHeight="1">
      <c r="B25" s="37"/>
      <c r="C25" s="25">
        <f>5232.4-C24</f>
        <v>3334.4</v>
      </c>
      <c r="D25" s="26">
        <f>403.1-D24</f>
        <v>115.1</v>
      </c>
      <c r="E25" s="26">
        <f>-146.1-E24</f>
        <v>-102.1</v>
      </c>
      <c r="F25" s="26">
        <f>-43.78-F24</f>
        <v>-22.088</v>
      </c>
      <c r="G25" s="26">
        <f>-290.354-F25-F24-G24</f>
        <v>-20.405</v>
      </c>
      <c r="H25" s="26">
        <v>0</v>
      </c>
      <c r="I25" s="26">
        <f>-280.3-I24</f>
        <v>-32.3</v>
      </c>
      <c r="J25" s="26">
        <f>D25+E25+F25</f>
        <v>-9.087999999999999</v>
      </c>
      <c r="K25" s="26">
        <f>AVERAGE(J22:J25)</f>
        <v>314.865125</v>
      </c>
      <c r="L25" s="26"/>
      <c r="M25" s="26">
        <f>-(G25+H25)+M24</f>
        <v>1726.445</v>
      </c>
      <c r="N25" s="26"/>
      <c r="O25" s="26">
        <f>1+O24</f>
        <v>22</v>
      </c>
    </row>
    <row r="26" ht="20.05" customHeight="1">
      <c r="B26" s="37"/>
      <c r="C26" s="25">
        <f>8354.4-SUM(C24:C25)</f>
        <v>3122</v>
      </c>
      <c r="D26" s="26">
        <f>754.5-SUM(D24:D25)</f>
        <v>351.4</v>
      </c>
      <c r="E26" s="26">
        <f>-195.7-SUM(E24:E25)</f>
        <v>-49.6</v>
      </c>
      <c r="F26" s="26">
        <f>-66.2-SUM(F24:F25)</f>
        <v>-22.42</v>
      </c>
      <c r="G26" s="26">
        <f>-373.824-F26-F25-F24-G25-G24-H26</f>
        <v>1.286</v>
      </c>
      <c r="H26" s="26">
        <v>-62.336</v>
      </c>
      <c r="I26" s="26">
        <f>-373.8-SUM(I24:I25)</f>
        <v>-93.5</v>
      </c>
      <c r="J26" s="26">
        <f>D26+E26+F26</f>
        <v>279.38</v>
      </c>
      <c r="K26" s="26">
        <f>AVERAGE(J23:J26)</f>
        <v>217.0550625</v>
      </c>
      <c r="L26" s="26"/>
      <c r="M26" s="26">
        <f>-(G26+H26)+M25</f>
        <v>1787.495</v>
      </c>
      <c r="N26" s="26"/>
      <c r="O26" s="26">
        <f>1+O25</f>
        <v>23</v>
      </c>
    </row>
    <row r="27" ht="20.05" customHeight="1">
      <c r="B27" s="37"/>
      <c r="C27" s="25">
        <f>11.1-SUM(C24:C26)</f>
        <v>-8343.299999999999</v>
      </c>
      <c r="D27" s="26">
        <f>795.4-SUM(D24:D26)</f>
        <v>40.9</v>
      </c>
      <c r="E27" s="26">
        <f>-233.8-SUM(E24:E26)</f>
        <v>-38.1</v>
      </c>
      <c r="F27" s="26">
        <f>-88.8-SUM(F24:F26)</f>
        <v>-22.6</v>
      </c>
      <c r="G27" s="26">
        <f>-339.9-SUM(G24:G26)</f>
        <v>-94.61199999999999</v>
      </c>
      <c r="H27" s="26">
        <f>-62.3-SUM(H24:H26)</f>
        <v>0.036</v>
      </c>
      <c r="I27" s="26">
        <f>-491-SUM(I24:I26)</f>
        <v>-117.2</v>
      </c>
      <c r="J27" s="26">
        <f>D27+E27+F27</f>
        <v>-19.8</v>
      </c>
      <c r="K27" s="26">
        <f>AVERAGE(J24:J27)</f>
        <v>118.2</v>
      </c>
      <c r="L27" s="26"/>
      <c r="M27" s="26">
        <f>-(G27+H27)+M26</f>
        <v>1882.071</v>
      </c>
      <c r="N27" s="26"/>
      <c r="O27" s="26">
        <f>1+O26</f>
        <v>24</v>
      </c>
    </row>
    <row r="28" ht="20.05" customHeight="1">
      <c r="B28" s="39">
        <v>2022</v>
      </c>
      <c r="C28" s="25">
        <v>3033</v>
      </c>
      <c r="D28" s="26">
        <v>298.4</v>
      </c>
      <c r="E28" s="26">
        <v>-80.2</v>
      </c>
      <c r="F28" s="26">
        <v>-23</v>
      </c>
      <c r="G28" s="26">
        <v>-8.699999999999999</v>
      </c>
      <c r="H28" s="26">
        <v>0</v>
      </c>
      <c r="I28" s="26">
        <v>-31.9</v>
      </c>
      <c r="J28" s="26">
        <f>D28+E28+F28</f>
        <v>195.2</v>
      </c>
      <c r="K28" s="26">
        <f>AVERAGE(J25:J28)</f>
        <v>111.423</v>
      </c>
      <c r="L28" s="26">
        <v>215.9337089762</v>
      </c>
      <c r="M28" s="26">
        <f>-(G28+H28)+M27</f>
        <v>1890.771</v>
      </c>
      <c r="N28" s="26">
        <v>2496.854498273850</v>
      </c>
      <c r="O28" s="26">
        <f>1+O27</f>
        <v>25</v>
      </c>
    </row>
    <row r="29" ht="20.05" customHeight="1">
      <c r="B29" s="37"/>
      <c r="C29" s="25"/>
      <c r="D29" s="26"/>
      <c r="E29" s="26"/>
      <c r="F29" s="26"/>
      <c r="G29" s="26"/>
      <c r="H29" s="26"/>
      <c r="I29" s="26"/>
      <c r="J29" s="26"/>
      <c r="K29" s="20"/>
      <c r="L29" s="26">
        <f>SUM('Model'!F9:F11)</f>
        <v>186.963990409870</v>
      </c>
      <c r="M29" s="20"/>
      <c r="N29" s="26">
        <f>'Model'!F34</f>
        <v>2573.330529100860</v>
      </c>
      <c r="O29" s="26"/>
    </row>
  </sheetData>
  <mergeCells count="1">
    <mergeCell ref="B2:O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5.0625" style="45" customWidth="1"/>
    <col min="2" max="2" width="9.92188" style="45" customWidth="1"/>
    <col min="3" max="4" width="10.6875" style="45" customWidth="1"/>
    <col min="5" max="5" width="12.5547" style="45" customWidth="1"/>
    <col min="6" max="11" width="9.35156" style="45" customWidth="1"/>
    <col min="12" max="16384" width="16.3516" style="45" customWidth="1"/>
  </cols>
  <sheetData>
    <row r="1" ht="30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" customHeight="1">
      <c r="B3" t="s" s="5">
        <v>1</v>
      </c>
      <c r="C3" t="s" s="5">
        <v>54</v>
      </c>
      <c r="D3" t="s" s="5">
        <v>55</v>
      </c>
      <c r="E3" t="s" s="5">
        <v>56</v>
      </c>
      <c r="F3" t="s" s="5">
        <v>25</v>
      </c>
      <c r="G3" t="s" s="5">
        <v>12</v>
      </c>
      <c r="H3" t="s" s="5">
        <v>15</v>
      </c>
      <c r="I3" t="s" s="5">
        <v>28</v>
      </c>
      <c r="J3" t="s" s="5">
        <v>57</v>
      </c>
      <c r="K3" t="s" s="5">
        <v>37</v>
      </c>
    </row>
    <row r="4" ht="20" customHeight="1">
      <c r="B4" s="31">
        <v>2016</v>
      </c>
      <c r="C4" s="46">
        <v>863</v>
      </c>
      <c r="D4" s="34">
        <v>7221</v>
      </c>
      <c r="E4" s="34">
        <f>D4-C4</f>
        <v>6358</v>
      </c>
      <c r="F4" s="47"/>
      <c r="G4" s="34">
        <v>4687</v>
      </c>
      <c r="H4" s="34">
        <v>2534</v>
      </c>
      <c r="I4" s="34">
        <f>G4+H4-C4-E4</f>
        <v>0</v>
      </c>
      <c r="J4" s="34">
        <f>C4-G4</f>
        <v>-3824</v>
      </c>
      <c r="K4" s="34"/>
    </row>
    <row r="5" ht="20" customHeight="1">
      <c r="B5" s="39">
        <v>2017</v>
      </c>
      <c r="C5" s="25">
        <v>1111</v>
      </c>
      <c r="D5" s="26">
        <v>7044</v>
      </c>
      <c r="E5" s="26">
        <f>D5-C5</f>
        <v>5933</v>
      </c>
      <c r="F5" s="41"/>
      <c r="G5" s="26">
        <v>4446</v>
      </c>
      <c r="H5" s="26">
        <v>2598</v>
      </c>
      <c r="I5" s="26">
        <f>G5+H5-C5-E5</f>
        <v>0</v>
      </c>
      <c r="J5" s="26">
        <f>C5-G5</f>
        <v>-3335</v>
      </c>
      <c r="K5" s="26"/>
    </row>
    <row r="6" ht="20" customHeight="1">
      <c r="B6" s="39">
        <v>2018</v>
      </c>
      <c r="C6" s="25">
        <v>1140</v>
      </c>
      <c r="D6" s="26">
        <v>7180</v>
      </c>
      <c r="E6" s="26">
        <f>D6-C6</f>
        <v>6040</v>
      </c>
      <c r="F6" s="41"/>
      <c r="G6" s="26">
        <v>4382</v>
      </c>
      <c r="H6" s="26">
        <v>2798</v>
      </c>
      <c r="I6" s="26">
        <f>G6+H6-C6-E6</f>
        <v>0</v>
      </c>
      <c r="J6" s="26">
        <f>C6-G6</f>
        <v>-3242</v>
      </c>
      <c r="K6" s="26"/>
    </row>
    <row r="7" ht="20" customHeight="1">
      <c r="B7" s="39">
        <v>2019</v>
      </c>
      <c r="C7" s="25"/>
      <c r="D7" s="26"/>
      <c r="E7" s="26"/>
      <c r="F7" s="41"/>
      <c r="G7" s="26"/>
      <c r="H7" s="26"/>
      <c r="I7" s="26"/>
      <c r="J7" s="26"/>
      <c r="K7" s="26"/>
    </row>
    <row r="8" ht="20" customHeight="1">
      <c r="B8" s="37"/>
      <c r="C8" s="25">
        <v>1392</v>
      </c>
      <c r="D8" s="26">
        <v>7263</v>
      </c>
      <c r="E8" s="26">
        <f>D8-C8</f>
        <v>5871</v>
      </c>
      <c r="F8" s="41"/>
      <c r="G8" s="26">
        <v>4318</v>
      </c>
      <c r="H8" s="26">
        <v>2945</v>
      </c>
      <c r="I8" s="26">
        <f>G8+H8-C8-E8</f>
        <v>0</v>
      </c>
      <c r="J8" s="26">
        <f>C8-G8</f>
        <v>-2926</v>
      </c>
      <c r="K8" s="26"/>
    </row>
    <row r="9" ht="20" customHeight="1">
      <c r="B9" s="37"/>
      <c r="C9" s="25">
        <v>1306</v>
      </c>
      <c r="D9" s="26">
        <v>7245</v>
      </c>
      <c r="E9" s="26">
        <f>D9-C9</f>
        <v>5939</v>
      </c>
      <c r="F9" s="41"/>
      <c r="G9" s="26">
        <v>4128</v>
      </c>
      <c r="H9" s="26">
        <v>3117</v>
      </c>
      <c r="I9" s="26">
        <f>G9+H9-C9-E9</f>
        <v>0</v>
      </c>
      <c r="J9" s="26">
        <f>C9-G9</f>
        <v>-2822</v>
      </c>
      <c r="K9" s="26"/>
    </row>
    <row r="10" ht="20" customHeight="1">
      <c r="B10" s="37"/>
      <c r="C10" s="25">
        <v>1987</v>
      </c>
      <c r="D10" s="26">
        <v>8316</v>
      </c>
      <c r="E10" s="26">
        <f>D10-C10</f>
        <v>6329</v>
      </c>
      <c r="F10" s="41"/>
      <c r="G10" s="26">
        <v>3974</v>
      </c>
      <c r="H10" s="26">
        <v>4342</v>
      </c>
      <c r="I10" s="26">
        <f>G10+H10-C10-E10</f>
        <v>0</v>
      </c>
      <c r="J10" s="26">
        <f>C10-G10</f>
        <v>-1987</v>
      </c>
      <c r="K10" s="26"/>
    </row>
    <row r="11" ht="20" customHeight="1">
      <c r="B11" s="39">
        <v>2020</v>
      </c>
      <c r="C11" s="25">
        <v>1580</v>
      </c>
      <c r="D11" s="26">
        <v>8686</v>
      </c>
      <c r="E11" s="26">
        <f>D11-C11</f>
        <v>7106</v>
      </c>
      <c r="F11" s="41"/>
      <c r="G11" s="26">
        <v>4524</v>
      </c>
      <c r="H11" s="26">
        <v>4162</v>
      </c>
      <c r="I11" s="26">
        <f>G11+H11-C11-E11</f>
        <v>0</v>
      </c>
      <c r="J11" s="26">
        <f>C11-G11</f>
        <v>-2944</v>
      </c>
      <c r="K11" s="26"/>
    </row>
    <row r="12" ht="20" customHeight="1">
      <c r="B12" s="37"/>
      <c r="C12" s="25">
        <v>1432</v>
      </c>
      <c r="D12" s="26">
        <v>8485</v>
      </c>
      <c r="E12" s="26">
        <f>D12-C12</f>
        <v>7053</v>
      </c>
      <c r="F12" s="41"/>
      <c r="G12" s="26">
        <v>4029</v>
      </c>
      <c r="H12" s="26">
        <v>4456</v>
      </c>
      <c r="I12" s="26">
        <f>G12+H12-C12-E12</f>
        <v>0</v>
      </c>
      <c r="J12" s="26">
        <f>C12-G12</f>
        <v>-2597</v>
      </c>
      <c r="K12" s="26"/>
    </row>
    <row r="13" ht="20" customHeight="1">
      <c r="B13" s="37"/>
      <c r="C13" s="25">
        <v>1930</v>
      </c>
      <c r="D13" s="26">
        <v>8575</v>
      </c>
      <c r="E13" s="26">
        <f>D13-C13</f>
        <v>6645</v>
      </c>
      <c r="F13" s="41"/>
      <c r="G13" s="26">
        <v>4203</v>
      </c>
      <c r="H13" s="26">
        <v>4372</v>
      </c>
      <c r="I13" s="26">
        <f>G13+H13-C13-E13</f>
        <v>0</v>
      </c>
      <c r="J13" s="26">
        <f>C13-G13</f>
        <v>-2273</v>
      </c>
      <c r="K13" s="26"/>
    </row>
    <row r="14" ht="20" customHeight="1">
      <c r="B14" s="37"/>
      <c r="C14" s="25">
        <v>1428</v>
      </c>
      <c r="D14" s="26">
        <v>7645</v>
      </c>
      <c r="E14" s="26">
        <f>D14-C14</f>
        <v>6217</v>
      </c>
      <c r="F14" s="41"/>
      <c r="G14" s="26">
        <v>3150</v>
      </c>
      <c r="H14" s="26">
        <v>4495</v>
      </c>
      <c r="I14" s="26">
        <f>G14+H14-C14-E14</f>
        <v>0</v>
      </c>
      <c r="J14" s="26">
        <f>C14-G14</f>
        <v>-1722</v>
      </c>
      <c r="K14" s="26"/>
    </row>
    <row r="15" ht="20" customHeight="1">
      <c r="B15" s="39">
        <v>2021</v>
      </c>
      <c r="C15" s="25">
        <v>1427</v>
      </c>
      <c r="D15" s="26">
        <v>7628</v>
      </c>
      <c r="E15" s="26">
        <f>D15-C15</f>
        <v>6201</v>
      </c>
      <c r="F15" s="41"/>
      <c r="G15" s="26">
        <v>3030</v>
      </c>
      <c r="H15" s="26">
        <v>4598</v>
      </c>
      <c r="I15" s="26">
        <f>G15+H15-C15-E15</f>
        <v>0</v>
      </c>
      <c r="J15" s="26">
        <f>C15-G15</f>
        <v>-1603</v>
      </c>
      <c r="K15" s="26"/>
    </row>
    <row r="16" ht="20" customHeight="1">
      <c r="B16" s="37"/>
      <c r="C16" s="25">
        <v>1408</v>
      </c>
      <c r="D16" s="26">
        <v>7810</v>
      </c>
      <c r="E16" s="26">
        <f>D16-C16</f>
        <v>6402</v>
      </c>
      <c r="F16" s="26">
        <f>375+3123</f>
        <v>3498</v>
      </c>
      <c r="G16" s="26">
        <v>3070</v>
      </c>
      <c r="H16" s="26">
        <v>4740</v>
      </c>
      <c r="I16" s="26">
        <f>G16+H16-C16-E16</f>
        <v>0</v>
      </c>
      <c r="J16" s="26">
        <f>C16-G16</f>
        <v>-1662</v>
      </c>
      <c r="K16" s="26"/>
    </row>
    <row r="17" ht="20" customHeight="1">
      <c r="B17" s="37"/>
      <c r="C17" s="25">
        <v>1614</v>
      </c>
      <c r="D17" s="26">
        <v>7793</v>
      </c>
      <c r="E17" s="26">
        <f>D17-C17</f>
        <v>6179</v>
      </c>
      <c r="F17" s="26">
        <f>394+3219</f>
        <v>3613</v>
      </c>
      <c r="G17" s="26">
        <v>2980</v>
      </c>
      <c r="H17" s="26">
        <v>4813</v>
      </c>
      <c r="I17" s="26">
        <f>G17+H17-C17-E17</f>
        <v>0</v>
      </c>
      <c r="J17" s="26">
        <f>C17-G17</f>
        <v>-1366</v>
      </c>
      <c r="K17" s="26"/>
    </row>
    <row r="18" ht="20" customHeight="1">
      <c r="B18" s="37"/>
      <c r="C18" s="25">
        <v>1499</v>
      </c>
      <c r="D18" s="26">
        <v>7787</v>
      </c>
      <c r="E18" s="26">
        <f>D18-C18</f>
        <v>6288</v>
      </c>
      <c r="F18" s="26">
        <f>415+3316</f>
        <v>3731</v>
      </c>
      <c r="G18" s="26">
        <v>2881</v>
      </c>
      <c r="H18" s="26">
        <v>4906</v>
      </c>
      <c r="I18" s="26">
        <f>G18+H18-C18-E18</f>
        <v>0</v>
      </c>
      <c r="J18" s="26">
        <f>C18-G18</f>
        <v>-1382</v>
      </c>
      <c r="K18" s="26"/>
    </row>
    <row r="19" ht="20" customHeight="1">
      <c r="B19" s="39">
        <v>2022</v>
      </c>
      <c r="C19" s="25">
        <v>1687</v>
      </c>
      <c r="D19" s="26">
        <v>8084</v>
      </c>
      <c r="E19" s="26">
        <f>D19-C19</f>
        <v>6397</v>
      </c>
      <c r="F19" s="26">
        <f>F18+'Sales'!E28</f>
        <v>3852</v>
      </c>
      <c r="G19" s="26">
        <v>3052</v>
      </c>
      <c r="H19" s="26">
        <f>D19-G19</f>
        <v>5032</v>
      </c>
      <c r="I19" s="26">
        <f>G19+H19-C19-E19</f>
        <v>0</v>
      </c>
      <c r="J19" s="26">
        <f>C19-G19</f>
        <v>-1365</v>
      </c>
      <c r="K19" s="26">
        <v>-660.722656111050</v>
      </c>
    </row>
    <row r="20" ht="20" customHeight="1">
      <c r="B20" s="37"/>
      <c r="C20" s="25"/>
      <c r="D20" s="26"/>
      <c r="E20" s="26"/>
      <c r="F20" s="26"/>
      <c r="G20" s="26"/>
      <c r="H20" s="26"/>
      <c r="I20" s="26"/>
      <c r="J20" s="26"/>
      <c r="K20" s="26">
        <f>'Model'!F32</f>
        <v>-651.869583596510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92188" style="48" customWidth="1"/>
    <col min="2" max="3" width="11.7344" style="48" customWidth="1"/>
    <col min="4" max="16384" width="16.3516" style="48" customWidth="1"/>
  </cols>
  <sheetData>
    <row r="1" ht="27.65" customHeight="1">
      <c r="A1" t="s" s="2">
        <v>58</v>
      </c>
      <c r="B1" s="2"/>
      <c r="C1" s="2"/>
    </row>
    <row r="2" ht="20.25" customHeight="1">
      <c r="A2" s="43"/>
      <c r="B2" t="s" s="5">
        <v>59</v>
      </c>
      <c r="C2" t="s" s="5">
        <v>40</v>
      </c>
    </row>
    <row r="3" ht="20.25" customHeight="1">
      <c r="A3" s="49"/>
      <c r="B3" s="46">
        <v>1870</v>
      </c>
      <c r="C3" s="34"/>
    </row>
    <row r="4" ht="20.05" customHeight="1">
      <c r="A4" s="39">
        <v>2020</v>
      </c>
      <c r="B4" s="25">
        <v>1243.5</v>
      </c>
      <c r="C4" s="26"/>
    </row>
    <row r="5" ht="20.05" customHeight="1">
      <c r="A5" s="37"/>
      <c r="B5" s="25">
        <v>1376.732056</v>
      </c>
      <c r="C5" s="26"/>
    </row>
    <row r="6" ht="20.05" customHeight="1">
      <c r="A6" s="37"/>
      <c r="B6" s="25">
        <v>1455</v>
      </c>
      <c r="C6" s="26"/>
    </row>
    <row r="7" ht="20.05" customHeight="1">
      <c r="A7" s="37"/>
      <c r="B7" s="25">
        <v>1470</v>
      </c>
      <c r="C7" s="26"/>
    </row>
    <row r="8" ht="20.05" customHeight="1">
      <c r="A8" s="39">
        <v>2021</v>
      </c>
      <c r="B8" s="25">
        <v>1650</v>
      </c>
      <c r="C8" s="26"/>
    </row>
    <row r="9" ht="20.05" customHeight="1">
      <c r="A9" s="37"/>
      <c r="B9" s="25">
        <v>1520</v>
      </c>
      <c r="C9" s="27"/>
    </row>
    <row r="10" ht="20.05" customHeight="1">
      <c r="A10" s="37"/>
      <c r="B10" s="25">
        <v>1560</v>
      </c>
      <c r="C10" s="26">
        <v>2917.069439205110</v>
      </c>
    </row>
    <row r="11" ht="20.05" customHeight="1">
      <c r="A11" s="37"/>
      <c r="B11" s="25">
        <v>1450</v>
      </c>
      <c r="C11" s="26">
        <v>2917.069439205110</v>
      </c>
    </row>
    <row r="12" ht="20.05" customHeight="1">
      <c r="A12" s="39">
        <v>2022</v>
      </c>
      <c r="B12" s="25">
        <v>1400</v>
      </c>
      <c r="C12" s="26">
        <v>2297.045311084370</v>
      </c>
    </row>
    <row r="13" ht="20.05" customHeight="1">
      <c r="A13" s="37"/>
      <c r="B13" s="25">
        <v>1210</v>
      </c>
      <c r="C13" s="26">
        <v>2515.243812397360</v>
      </c>
    </row>
    <row r="14" ht="20.05" customHeight="1">
      <c r="A14" s="37"/>
      <c r="B14" s="25"/>
      <c r="C14" s="26">
        <f>'Model'!F45</f>
        <v>1958.142902388770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