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<sst xmlns="http://schemas.openxmlformats.org/spreadsheetml/2006/main" uniqueCount="57">
  <si>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</si>
  <si>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</si>
  <si>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</si>
  <si>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</si>
  <si>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</si>
  <si>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</si>
  <si>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</si>
  <si>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</si>
  <si>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</si>
  <si>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</si>
  <si>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</si>
  <si>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</si>
  <si>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Revolver</t>
  </si>
  <si>
    <t xml:space="preserve">Payout </t>
  </si>
  <si>
    <t>Equity</t>
  </si>
  <si>
    <t>Before revolver</t>
  </si>
  <si>
    <t>Beginning</t>
  </si>
  <si>
    <t>Change</t>
  </si>
  <si>
    <t>Ending</t>
  </si>
  <si>
    <t>Profit</t>
  </si>
  <si>
    <t xml:space="preserve">Non cash costs </t>
  </si>
  <si>
    <t xml:space="preserve">Other income 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</si>
  <si>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</si>
  <si>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</si>
  <si>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</si>
  <si>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</si>
  <si>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</si>
  <si>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</si>
  <si>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</si>
  <si>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</si>
  <si>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</si>
  <si>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</si>
  <si>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</si>
  <si>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</si>
  <si>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</si>
  <si>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</si>
  <si>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</si>
  <si>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</si>
  <si>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</si>
  <si>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</si>
  <si>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</si>
  <si>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</si>
  <si>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</si>
  <si>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</si>
  <si>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</si>
  <si>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</si>
  <si>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</si>
  <si>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</si>
  <si>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Leases</t>
  </si>
  <si>
    <t xml:space="preserve">Equity </t>
  </si>
  <si>
    <t xml:space="preserve">Free cashflow </t>
  </si>
  <si>
    <t xml:space="preserve">Cashflow </t>
  </si>
  <si>
    <t xml:space="preserve">Cash </t>
  </si>
  <si>
    <t>Assets</t>
  </si>
  <si>
    <t xml:space="preserve">Checking </t>
  </si>
  <si>
    <t>TURI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</si>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</sst>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3" fontId="3" borderId="10" applyNumberFormat="1" applyFont="1" applyFill="0" applyBorder="1" applyAlignment="1" applyProtection="0">
      <alignment horizontal="right" vertical="center" wrapText="1" readingOrder="1"/>
    </xf>
    <xf numFmtId="3" fontId="3" borderId="11" applyNumberFormat="1" applyFont="1" applyFill="0" applyBorder="1" applyAlignment="1" applyProtection="0">
      <alignment horizontal="right" vertical="center" wrapText="1" readingOrder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3" fontId="3" borderId="13" applyNumberFormat="1" applyFont="1" applyFill="0" applyBorder="1" applyAlignment="1" applyProtection="0">
      <alignment horizontal="right" vertical="center" wrapText="1" readingOrder="1"/>
    </xf>
    <xf numFmtId="3" fontId="3" borderId="14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d9d9d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524486</xdr:colOff>
      <xdr:row>2</xdr:row>
      <xdr:rowOff>38661</xdr:rowOff>
    </xdr:from>
    <xdr:to>
      <xdr:col>13</xdr:col>
      <xdr:colOff>693376</xdr:colOff>
      <xdr:row>49</xdr:row>
      <xdr:rowOff>155687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29886" y="678106"/>
          <a:ext cx="8881091" cy="120899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4766" style="1" customWidth="1"/>
    <col min="2" max="2" width="14.7656" style="1" customWidth="1"/>
    <col min="3" max="6" width="9.14844" style="1" customWidth="1"/>
    <col min="7" max="16384" width="16.3516" style="1" customWidth="1"/>
  </cols>
  <sheetData>
    <row r="1" ht="22.7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AVERAGE('Sales'!H28:H31)</f>
        <v>0.11554970091652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-0.03</v>
      </c>
      <c r="D5" s="12">
        <v>0.05</v>
      </c>
      <c r="E5" s="12">
        <v>0.05</v>
      </c>
      <c r="F5" s="12">
        <v>0.13</v>
      </c>
    </row>
    <row r="6" ht="20.05" customHeight="1">
      <c r="B6" t="s" s="10">
        <v>5</v>
      </c>
      <c r="C6" s="13">
        <f>'Sales'!C31*(1+C5)</f>
        <v>3946.154</v>
      </c>
      <c r="D6" s="14">
        <f>C6*(1+D5)</f>
        <v>4143.4617</v>
      </c>
      <c r="E6" s="14">
        <f>D6*(1+E5)</f>
        <v>4350.634785</v>
      </c>
      <c r="F6" s="14">
        <f>E6*(1+F5)</f>
        <v>4916.21730705</v>
      </c>
    </row>
    <row r="7" ht="20.05" customHeight="1">
      <c r="B7" t="s" s="10">
        <v>6</v>
      </c>
      <c r="C7" s="15">
        <f>AVERAGE('Sales'!I31)</f>
        <v>-0.94366058699179</v>
      </c>
      <c r="D7" s="16">
        <f>C7</f>
        <v>-0.94366058699179</v>
      </c>
      <c r="E7" s="16">
        <f>D7</f>
        <v>-0.94366058699179</v>
      </c>
      <c r="F7" s="16">
        <f>E7</f>
        <v>-0.94366058699179</v>
      </c>
    </row>
    <row r="8" ht="20.05" customHeight="1">
      <c r="B8" t="s" s="10">
        <v>7</v>
      </c>
      <c r="C8" s="17">
        <f>C7*C6</f>
        <v>-3723.83</v>
      </c>
      <c r="D8" s="18">
        <f>D7*D6</f>
        <v>-3910.0215</v>
      </c>
      <c r="E8" s="18">
        <f>E7*E6</f>
        <v>-4105.522575</v>
      </c>
      <c r="F8" s="18">
        <f>F7*F6</f>
        <v>-4639.24050975</v>
      </c>
    </row>
    <row r="9" ht="20.05" customHeight="1">
      <c r="B9" t="s" s="10">
        <v>8</v>
      </c>
      <c r="C9" s="17">
        <f>C6+C8</f>
        <v>222.324</v>
      </c>
      <c r="D9" s="18">
        <f>D6+D8</f>
        <v>233.4402</v>
      </c>
      <c r="E9" s="18">
        <f>E6+E8</f>
        <v>245.11221</v>
      </c>
      <c r="F9" s="18">
        <f>F6+F8</f>
        <v>276.9767973</v>
      </c>
    </row>
    <row r="10" ht="20.05" customHeight="1">
      <c r="B10" t="s" s="10">
        <v>9</v>
      </c>
      <c r="C10" s="17">
        <f>AVERAGE('Cashflow '!E32)</f>
        <v>-9.6</v>
      </c>
      <c r="D10" s="18">
        <f>C10</f>
        <v>-9.6</v>
      </c>
      <c r="E10" s="18">
        <f>D10</f>
        <v>-9.6</v>
      </c>
      <c r="F10" s="18">
        <f>E10</f>
        <v>-9.6</v>
      </c>
    </row>
    <row r="11" ht="20.05" customHeight="1">
      <c r="B11" t="s" s="10">
        <v>10</v>
      </c>
      <c r="C11" s="17">
        <f>C12+C15+C13</f>
        <v>-173.5172</v>
      </c>
      <c r="D11" s="18">
        <f>D12+D15+D13</f>
        <v>-171.21706</v>
      </c>
      <c r="E11" s="18">
        <f>E12+E15+E13</f>
        <v>-169.365413</v>
      </c>
      <c r="F11" s="18">
        <f>F12+F15+F13</f>
        <v>-173.83920169</v>
      </c>
    </row>
    <row r="12" ht="20.05" customHeight="1">
      <c r="B12" t="s" s="10">
        <v>11</v>
      </c>
      <c r="C12" s="17">
        <f>-('Balance Sheet '!F27)/20</f>
        <v>-112.7</v>
      </c>
      <c r="D12" s="18">
        <f>-C28/20</f>
        <v>-107.065</v>
      </c>
      <c r="E12" s="18">
        <f>-D28/20</f>
        <v>-101.71175</v>
      </c>
      <c r="F12" s="18">
        <f>-E28/20</f>
        <v>-96.62616250000001</v>
      </c>
    </row>
    <row r="13" ht="20.05" customHeight="1">
      <c r="B13" t="s" s="10">
        <v>12</v>
      </c>
      <c r="C13" s="17">
        <f>-MIN(0,C16)</f>
        <v>0</v>
      </c>
      <c r="D13" s="18">
        <f>-MIN(C29,D16)</f>
        <v>0</v>
      </c>
      <c r="E13" s="18">
        <f>-MIN(D29,E16)</f>
        <v>0</v>
      </c>
      <c r="F13" s="18">
        <f>-MIN(E29,F16)</f>
        <v>0</v>
      </c>
    </row>
    <row r="14" ht="20.05" customHeight="1">
      <c r="B14" t="s" s="10">
        <v>13</v>
      </c>
      <c r="C14" s="19">
        <v>0.3</v>
      </c>
      <c r="D14" s="18"/>
      <c r="E14" s="18"/>
      <c r="F14" s="18"/>
    </row>
    <row r="15" ht="20.05" customHeight="1">
      <c r="B15" t="s" s="10">
        <v>14</v>
      </c>
      <c r="C15" s="17">
        <f>IF(C23&gt;0,-C23*$C$14,0)</f>
        <v>-60.8172</v>
      </c>
      <c r="D15" s="18">
        <f>IF(D23&gt;0,-D23*$C$14,0)</f>
        <v>-64.15206000000001</v>
      </c>
      <c r="E15" s="18">
        <f>IF(E23&gt;0,-E23*$C$14,0)</f>
        <v>-67.65366299999999</v>
      </c>
      <c r="F15" s="18">
        <f>IF(F23&gt;0,-F23*$C$14,0)</f>
        <v>-77.21303919</v>
      </c>
    </row>
    <row r="16" ht="20.05" customHeight="1">
      <c r="B16" t="s" s="10">
        <v>15</v>
      </c>
      <c r="C16" s="17">
        <f>C9+C10+C12+C15</f>
        <v>39.2068</v>
      </c>
      <c r="D16" s="18">
        <f>D9+D10+D12+D15</f>
        <v>52.62314</v>
      </c>
      <c r="E16" s="18">
        <f>E9+E10+E12+E15</f>
        <v>66.14679700000001</v>
      </c>
      <c r="F16" s="18">
        <f>F9+F10+F12+F15</f>
        <v>93.53759561</v>
      </c>
    </row>
    <row r="17" ht="20.05" customHeight="1">
      <c r="B17" t="s" s="10">
        <v>16</v>
      </c>
      <c r="C17" s="17">
        <f>'Balance Sheet '!B27</f>
        <v>1158</v>
      </c>
      <c r="D17" s="18">
        <f>C19</f>
        <v>1197.2068</v>
      </c>
      <c r="E17" s="18">
        <f>D19</f>
        <v>1249.82994</v>
      </c>
      <c r="F17" s="18">
        <f>E19</f>
        <v>1315.976737</v>
      </c>
    </row>
    <row r="18" ht="20.05" customHeight="1">
      <c r="B18" t="s" s="10">
        <v>17</v>
      </c>
      <c r="C18" s="17">
        <f>C9+C10+C11</f>
        <v>39.2068</v>
      </c>
      <c r="D18" s="18">
        <f>D9+D10+D11</f>
        <v>52.62314</v>
      </c>
      <c r="E18" s="18">
        <f>E9+E10+E11</f>
        <v>66.14679700000001</v>
      </c>
      <c r="F18" s="18">
        <f>F9+F10+F11</f>
        <v>93.53759561</v>
      </c>
    </row>
    <row r="19" ht="20.05" customHeight="1">
      <c r="B19" t="s" s="10">
        <v>18</v>
      </c>
      <c r="C19" s="17">
        <f>C17+C18</f>
        <v>1197.2068</v>
      </c>
      <c r="D19" s="18">
        <f>D17+D18</f>
        <v>1249.82994</v>
      </c>
      <c r="E19" s="18">
        <f>E17+E18</f>
        <v>1315.976737</v>
      </c>
      <c r="F19" s="18">
        <f>F17+F18</f>
        <v>1409.51433261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-AVERAGE('Sales'!E31)</f>
        <v>-72.2</v>
      </c>
      <c r="D21" s="18">
        <f>C21</f>
        <v>-72.2</v>
      </c>
      <c r="E21" s="18">
        <f>D21</f>
        <v>-72.2</v>
      </c>
      <c r="F21" s="18">
        <f>E21</f>
        <v>-72.2</v>
      </c>
    </row>
    <row r="22" ht="20.05" customHeight="1">
      <c r="B22" t="s" s="10">
        <v>21</v>
      </c>
      <c r="C22" s="17">
        <f>AVERAGE('Sales'!F31)</f>
        <v>52.6</v>
      </c>
      <c r="D22" s="18">
        <f>C22</f>
        <v>52.6</v>
      </c>
      <c r="E22" s="18">
        <f>D22</f>
        <v>52.6</v>
      </c>
      <c r="F22" s="18">
        <f>E22</f>
        <v>52.6</v>
      </c>
    </row>
    <row r="23" ht="20.05" customHeight="1">
      <c r="B23" t="s" s="10">
        <v>22</v>
      </c>
      <c r="C23" s="17">
        <f>C6+C8+C21+C22</f>
        <v>202.724</v>
      </c>
      <c r="D23" s="18">
        <f>D6+D8+D21+D22</f>
        <v>213.8402</v>
      </c>
      <c r="E23" s="18">
        <f>E6+E8+E21+E22</f>
        <v>225.51221</v>
      </c>
      <c r="F23" s="18">
        <f>F6+F8+F21+F22</f>
        <v>257.3767973</v>
      </c>
    </row>
    <row r="24" ht="20.05" customHeight="1">
      <c r="B24" t="s" s="20">
        <v>23</v>
      </c>
      <c r="C24" s="17"/>
      <c r="D24" s="18"/>
      <c r="E24" s="18"/>
      <c r="F24" s="18"/>
    </row>
    <row r="25" ht="20.05" customHeight="1">
      <c r="B25" t="s" s="10">
        <v>24</v>
      </c>
      <c r="C25" s="17">
        <f>'Balance Sheet '!D27+'Balance Sheet '!E27-C10</f>
        <v>6549.6</v>
      </c>
      <c r="D25" s="18">
        <f>C25-D10</f>
        <v>6559.2</v>
      </c>
      <c r="E25" s="18">
        <f>D25-E10</f>
        <v>6568.8</v>
      </c>
      <c r="F25" s="18">
        <f>E25-F10</f>
        <v>6578.4</v>
      </c>
    </row>
    <row r="26" ht="20.05" customHeight="1">
      <c r="B26" t="s" s="10">
        <v>25</v>
      </c>
      <c r="C26" s="17">
        <f>'Balance Sheet '!E27-C21-C22</f>
        <v>995.6</v>
      </c>
      <c r="D26" s="18">
        <f>C26-D21-D22</f>
        <v>1015.2</v>
      </c>
      <c r="E26" s="18">
        <f>D26-E21-E22</f>
        <v>1034.8</v>
      </c>
      <c r="F26" s="18">
        <f>E26-F21-F22</f>
        <v>1054.4</v>
      </c>
    </row>
    <row r="27" ht="20.05" customHeight="1">
      <c r="B27" t="s" s="10">
        <v>26</v>
      </c>
      <c r="C27" s="17">
        <f>C25-C26</f>
        <v>5554</v>
      </c>
      <c r="D27" s="18">
        <f>D25-D26</f>
        <v>5544</v>
      </c>
      <c r="E27" s="18">
        <f>E25-E26</f>
        <v>5534</v>
      </c>
      <c r="F27" s="18">
        <f>F25-F26</f>
        <v>5524</v>
      </c>
    </row>
    <row r="28" ht="20.05" customHeight="1">
      <c r="B28" t="s" s="10">
        <v>11</v>
      </c>
      <c r="C28" s="17">
        <f>'Balance Sheet '!F27+C12</f>
        <v>2141.3</v>
      </c>
      <c r="D28" s="18">
        <f>C28+D12</f>
        <v>2034.235</v>
      </c>
      <c r="E28" s="18">
        <f>D28+E12</f>
        <v>1932.52325</v>
      </c>
      <c r="F28" s="18">
        <f>E28+F12</f>
        <v>1835.8970875</v>
      </c>
    </row>
    <row r="29" ht="20.05" customHeight="1">
      <c r="B29" t="s" s="10">
        <v>12</v>
      </c>
      <c r="C29" s="17">
        <f>C13</f>
        <v>0</v>
      </c>
      <c r="D29" s="18">
        <f>C29+D13</f>
        <v>0</v>
      </c>
      <c r="E29" s="18">
        <f>D29+E13</f>
        <v>0</v>
      </c>
      <c r="F29" s="18">
        <f>E29+F13</f>
        <v>0</v>
      </c>
    </row>
    <row r="30" ht="20.05" customHeight="1">
      <c r="B30" t="s" s="10">
        <v>14</v>
      </c>
      <c r="C30" s="17">
        <f>'Balance Sheet '!G27+C23+C15</f>
        <v>4609.9068</v>
      </c>
      <c r="D30" s="18">
        <f>C30+D23+D15</f>
        <v>4759.59494</v>
      </c>
      <c r="E30" s="18">
        <f>D30+E23+E15</f>
        <v>4917.453487</v>
      </c>
      <c r="F30" s="18">
        <f>E30+F23+F15</f>
        <v>5097.61724511</v>
      </c>
    </row>
    <row r="31" ht="20.05" customHeight="1">
      <c r="B31" t="s" s="10">
        <v>27</v>
      </c>
      <c r="C31" s="17">
        <f>C28+C29+C30-C19-C27</f>
        <v>0</v>
      </c>
      <c r="D31" s="18">
        <f>D28+D29+D30-D19-D27</f>
        <v>0</v>
      </c>
      <c r="E31" s="18">
        <f>E28+E29+E30-E19-E27</f>
        <v>0</v>
      </c>
      <c r="F31" s="18">
        <f>F28+F29+F30-F19-F27</f>
        <v>0</v>
      </c>
    </row>
    <row r="32" ht="20.05" customHeight="1">
      <c r="B32" t="s" s="10">
        <v>28</v>
      </c>
      <c r="C32" s="17">
        <f>C19-C28-C29</f>
        <v>-944.0932</v>
      </c>
      <c r="D32" s="18">
        <f>D19-D28-D29</f>
        <v>-784.40506</v>
      </c>
      <c r="E32" s="18">
        <f>E19-E28-E29</f>
        <v>-616.546513</v>
      </c>
      <c r="F32" s="18">
        <f>F19-F28-F29</f>
        <v>-426.38275489</v>
      </c>
    </row>
    <row r="33" ht="20.05" customHeight="1">
      <c r="B33" t="s" s="20">
        <v>29</v>
      </c>
      <c r="C33" s="17"/>
      <c r="D33" s="18"/>
      <c r="E33" s="18"/>
      <c r="F33" s="18"/>
    </row>
    <row r="34" ht="20.05" customHeight="1">
      <c r="B34" t="s" s="10">
        <v>30</v>
      </c>
      <c r="C34" s="17">
        <f>'Cashflow '!M32-C11</f>
        <v>1350.5172</v>
      </c>
      <c r="D34" s="18">
        <f>C34-D11</f>
        <v>1521.73426</v>
      </c>
      <c r="E34" s="18">
        <f>D34-E11</f>
        <v>1691.099673</v>
      </c>
      <c r="F34" s="18">
        <f>E34-F11</f>
        <v>1864.93887469</v>
      </c>
    </row>
    <row r="35" ht="20.05" customHeight="1">
      <c r="B35" t="s" s="10">
        <v>31</v>
      </c>
      <c r="C35" s="17"/>
      <c r="D35" s="18"/>
      <c r="E35" s="18"/>
      <c r="F35" s="18">
        <v>7309800335360</v>
      </c>
    </row>
    <row r="36" ht="20.05" customHeight="1">
      <c r="B36" t="s" s="10">
        <v>31</v>
      </c>
      <c r="C36" s="17"/>
      <c r="D36" s="18"/>
      <c r="E36" s="18"/>
      <c r="F36" s="18">
        <f>F35/1000000000</f>
        <v>7309.80033536</v>
      </c>
    </row>
    <row r="37" ht="20.05" customHeight="1">
      <c r="B37" t="s" s="10">
        <v>32</v>
      </c>
      <c r="C37" s="17"/>
      <c r="D37" s="18"/>
      <c r="E37" s="18"/>
      <c r="F37" s="22">
        <f>F36/(F19+F27)</f>
        <v>1.05427060285723</v>
      </c>
    </row>
    <row r="38" ht="20.05" customHeight="1">
      <c r="B38" t="s" s="10">
        <v>33</v>
      </c>
      <c r="C38" s="17"/>
      <c r="D38" s="18"/>
      <c r="E38" s="18"/>
      <c r="F38" s="16">
        <f>-(C15+D15+E15+F15)/F36</f>
        <v>0.0369142725943842</v>
      </c>
    </row>
    <row r="39" ht="20.05" customHeight="1">
      <c r="B39" t="s" s="10">
        <v>3</v>
      </c>
      <c r="C39" s="17"/>
      <c r="D39" s="18"/>
      <c r="E39" s="18"/>
      <c r="F39" s="18">
        <f>SUM(C9:F10)</f>
        <v>939.4532073</v>
      </c>
    </row>
    <row r="40" ht="20.05" customHeight="1">
      <c r="B40" t="s" s="10">
        <v>34</v>
      </c>
      <c r="C40" s="17"/>
      <c r="D40" s="18"/>
      <c r="E40" s="18"/>
      <c r="F40" s="18">
        <f>'Balance Sheet '!D27/F39</f>
        <v>5.92259407575073</v>
      </c>
    </row>
    <row r="41" ht="20.05" customHeight="1">
      <c r="B41" t="s" s="10">
        <v>29</v>
      </c>
      <c r="C41" s="17"/>
      <c r="D41" s="18"/>
      <c r="E41" s="18"/>
      <c r="F41" s="18">
        <f>F36/F39</f>
        <v>7.78090944664339</v>
      </c>
    </row>
    <row r="42" ht="20.05" customHeight="1">
      <c r="B42" t="s" s="10">
        <v>35</v>
      </c>
      <c r="C42" s="17"/>
      <c r="D42" s="18"/>
      <c r="E42" s="18"/>
      <c r="F42" s="18">
        <v>15</v>
      </c>
    </row>
    <row r="43" ht="20.05" customHeight="1">
      <c r="B43" t="s" s="10">
        <v>36</v>
      </c>
      <c r="C43" s="17"/>
      <c r="D43" s="18"/>
      <c r="E43" s="18"/>
      <c r="F43" s="18">
        <f>F39*F42</f>
        <v>14091.7981095</v>
      </c>
    </row>
    <row r="44" ht="20.05" customHeight="1">
      <c r="B44" t="s" s="10">
        <v>37</v>
      </c>
      <c r="C44" s="17"/>
      <c r="D44" s="18"/>
      <c r="E44" s="18"/>
      <c r="F44" s="18">
        <f>F36/F46</f>
        <v>5.580000256</v>
      </c>
    </row>
    <row r="45" ht="20.05" customHeight="1">
      <c r="B45" t="s" s="10">
        <v>38</v>
      </c>
      <c r="C45" s="17"/>
      <c r="D45" s="18"/>
      <c r="E45" s="18"/>
      <c r="F45" s="18">
        <f>F43/F44</f>
        <v>2525.411731719460</v>
      </c>
    </row>
    <row r="46" ht="20.05" customHeight="1">
      <c r="B46" t="s" s="10">
        <v>39</v>
      </c>
      <c r="C46" s="17"/>
      <c r="D46" s="18"/>
      <c r="E46" s="18"/>
      <c r="F46" s="18">
        <v>1310</v>
      </c>
    </row>
    <row r="47" ht="20.05" customHeight="1">
      <c r="B47" t="s" s="10">
        <v>40</v>
      </c>
      <c r="C47" s="17"/>
      <c r="D47" s="18"/>
      <c r="E47" s="18"/>
      <c r="F47" s="16">
        <f>F45/F46-1</f>
        <v>0.927795215053023</v>
      </c>
    </row>
    <row r="48" ht="20.05" customHeight="1">
      <c r="B48" t="s" s="10">
        <v>41</v>
      </c>
      <c r="C48" s="17"/>
      <c r="D48" s="18"/>
      <c r="E48" s="18"/>
      <c r="F48" s="16">
        <f>'Sales'!C31/'Sales'!C27-1</f>
        <v>0.540984848484848</v>
      </c>
    </row>
    <row r="49" ht="20.05" customHeight="1">
      <c r="B49" t="s" s="10">
        <v>42</v>
      </c>
      <c r="C49" s="17"/>
      <c r="D49" s="18"/>
      <c r="E49" s="18"/>
      <c r="F49" s="16">
        <f>'Sales'!F34/'Sales'!E34-1</f>
        <v>0.0369849586891014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7.79688" style="23" customWidth="1"/>
    <col min="2" max="2" width="9.3125" style="23" customWidth="1"/>
    <col min="3" max="11" width="10.125" style="23" customWidth="1"/>
    <col min="12" max="16384" width="16.3516" style="23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35</v>
      </c>
      <c r="E2" t="s" s="5">
        <v>25</v>
      </c>
      <c r="F2" t="s" s="5">
        <v>21</v>
      </c>
      <c r="G2" t="s" s="5">
        <v>22</v>
      </c>
      <c r="H2" t="s" s="5">
        <v>43</v>
      </c>
      <c r="I2" t="s" s="5">
        <v>44</v>
      </c>
      <c r="J2" t="s" s="5">
        <v>44</v>
      </c>
      <c r="K2" t="s" s="5">
        <v>35</v>
      </c>
    </row>
    <row r="3" ht="20.25" customHeight="1">
      <c r="B3" s="24">
        <v>2015</v>
      </c>
      <c r="C3" s="25">
        <v>2479.4</v>
      </c>
      <c r="D3" s="26"/>
      <c r="E3" s="26">
        <v>61.016</v>
      </c>
      <c r="F3" s="26">
        <v>29</v>
      </c>
      <c r="G3" s="27">
        <v>75.2</v>
      </c>
      <c r="H3" s="28"/>
      <c r="I3" s="28">
        <f>(E3-F3+G3-C3)/C3</f>
        <v>-0.956757279987094</v>
      </c>
      <c r="J3" s="28"/>
      <c r="K3" s="28"/>
    </row>
    <row r="4" ht="20.05" customHeight="1">
      <c r="B4" s="29"/>
      <c r="C4" s="13">
        <v>2762.4</v>
      </c>
      <c r="D4" s="14"/>
      <c r="E4" s="14">
        <v>63.682</v>
      </c>
      <c r="F4" s="14">
        <v>39</v>
      </c>
      <c r="G4" s="18">
        <v>52.7</v>
      </c>
      <c r="H4" s="16">
        <f>C4/C3-1</f>
        <v>0.114140517867226</v>
      </c>
      <c r="I4" s="16">
        <f>(E4-F4+G4-C4)/C4</f>
        <v>-0.971987402258905</v>
      </c>
      <c r="J4" s="16"/>
      <c r="K4" s="16"/>
    </row>
    <row r="5" ht="20.05" customHeight="1">
      <c r="B5" s="29"/>
      <c r="C5" s="13">
        <v>2283.4</v>
      </c>
      <c r="D5" s="14"/>
      <c r="E5" s="14">
        <v>67.22799999999999</v>
      </c>
      <c r="F5" s="14">
        <v>35</v>
      </c>
      <c r="G5" s="18">
        <v>71.58</v>
      </c>
      <c r="H5" s="16">
        <f>C5/C4-1</f>
        <v>-0.173399942079351</v>
      </c>
      <c r="I5" s="16">
        <f>(E5-F5+G5-C5)/C5</f>
        <v>-0.954537969694315</v>
      </c>
      <c r="J5" s="16"/>
      <c r="K5" s="16"/>
    </row>
    <row r="6" ht="20.05" customHeight="1">
      <c r="B6" s="29"/>
      <c r="C6" s="13">
        <v>2632</v>
      </c>
      <c r="D6" s="14"/>
      <c r="E6" s="14">
        <v>73.895</v>
      </c>
      <c r="F6" s="14">
        <v>47</v>
      </c>
      <c r="G6" s="18">
        <v>92.73999999999999</v>
      </c>
      <c r="H6" s="16">
        <f>C6/C5-1</f>
        <v>0.152667075413857</v>
      </c>
      <c r="I6" s="16">
        <f>(E6-F6+G6-C6)/C6</f>
        <v>-0.954545972644377</v>
      </c>
      <c r="J6" s="16"/>
      <c r="K6" s="16"/>
    </row>
    <row r="7" ht="20.05" customHeight="1">
      <c r="B7" s="30">
        <v>2016</v>
      </c>
      <c r="C7" s="13">
        <v>2832.5</v>
      </c>
      <c r="D7" s="14"/>
      <c r="E7" s="14">
        <v>65.681</v>
      </c>
      <c r="F7" s="14">
        <v>34</v>
      </c>
      <c r="G7" s="18">
        <v>104.28</v>
      </c>
      <c r="H7" s="16">
        <f>C7/C6-1</f>
        <v>0.07617781155015201</v>
      </c>
      <c r="I7" s="16">
        <f>(E7-F7+G7-C7)/C7</f>
        <v>-0.951999646954987</v>
      </c>
      <c r="J7" s="16"/>
      <c r="K7" s="16"/>
    </row>
    <row r="8" ht="20.05" customHeight="1">
      <c r="B8" s="29"/>
      <c r="C8" s="13">
        <v>3422</v>
      </c>
      <c r="D8" s="14"/>
      <c r="E8" s="14">
        <v>65.72199999999999</v>
      </c>
      <c r="F8" s="14">
        <v>41</v>
      </c>
      <c r="G8" s="18">
        <v>186.22</v>
      </c>
      <c r="H8" s="16">
        <f>C8/C7-1</f>
        <v>0.208120035304501</v>
      </c>
      <c r="I8" s="16">
        <f>(E8-F8+G8-C8)/C8</f>
        <v>-0.938357101110462</v>
      </c>
      <c r="J8" s="16"/>
      <c r="K8" s="16"/>
    </row>
    <row r="9" ht="20.05" customHeight="1">
      <c r="B9" s="29"/>
      <c r="C9" s="13">
        <v>3100.4</v>
      </c>
      <c r="D9" s="14"/>
      <c r="E9" s="14">
        <v>68.309</v>
      </c>
      <c r="F9" s="14">
        <v>34</v>
      </c>
      <c r="G9" s="18">
        <v>132.8</v>
      </c>
      <c r="H9" s="16">
        <f>C9/C8-1</f>
        <v>-0.0939801285797779</v>
      </c>
      <c r="I9" s="16">
        <f>(E9-F9+G9-C9)/C9</f>
        <v>-0.9461008256999101</v>
      </c>
      <c r="J9" s="16"/>
      <c r="K9" s="16"/>
    </row>
    <row r="10" ht="20.05" customHeight="1">
      <c r="B10" s="29"/>
      <c r="C10" s="13">
        <v>3098.8</v>
      </c>
      <c r="D10" s="14"/>
      <c r="E10" s="14">
        <v>66.443</v>
      </c>
      <c r="F10" s="14">
        <v>33</v>
      </c>
      <c r="G10" s="18">
        <v>129.15</v>
      </c>
      <c r="H10" s="16">
        <f>C10/C9-1</f>
        <v>-0.00051606244355567</v>
      </c>
      <c r="I10" s="16">
        <f>(E10-F10+G10-C10)/C10</f>
        <v>-0.947530334322964</v>
      </c>
      <c r="J10" s="16"/>
      <c r="K10" s="16"/>
    </row>
    <row r="11" ht="20.05" customHeight="1">
      <c r="B11" s="30">
        <v>2017</v>
      </c>
      <c r="C11" s="13">
        <v>3508.4</v>
      </c>
      <c r="D11" s="14"/>
      <c r="E11" s="14">
        <v>45.147</v>
      </c>
      <c r="F11" s="14">
        <v>47</v>
      </c>
      <c r="G11" s="18">
        <v>105.5</v>
      </c>
      <c r="H11" s="16">
        <f>C11/C10-1</f>
        <v>0.132180198786627</v>
      </c>
      <c r="I11" s="16">
        <f>(E11-F11+G11-C11)/C11</f>
        <v>-0.97045747349219</v>
      </c>
      <c r="J11" s="16">
        <f>AVERAGE(I8:I11)</f>
        <v>-0.950611433656382</v>
      </c>
      <c r="K11" s="16"/>
    </row>
    <row r="12" ht="20.05" customHeight="1">
      <c r="B12" s="29"/>
      <c r="C12" s="13">
        <v>3204.2</v>
      </c>
      <c r="D12" s="14"/>
      <c r="E12" s="14">
        <v>50.619</v>
      </c>
      <c r="F12" s="14">
        <v>54</v>
      </c>
      <c r="G12" s="18">
        <v>115.72</v>
      </c>
      <c r="H12" s="16">
        <f>C12/C11-1</f>
        <v>-0.0867061908562308</v>
      </c>
      <c r="I12" s="16">
        <f>(E12-F12+G12-C12)/C12</f>
        <v>-0.964940078646776</v>
      </c>
      <c r="J12" s="16">
        <f>AVERAGE(I9:I12)</f>
        <v>-0.95725717804046</v>
      </c>
      <c r="K12" s="16"/>
    </row>
    <row r="13" ht="20.05" customHeight="1">
      <c r="B13" s="29"/>
      <c r="C13" s="13">
        <v>3125.2</v>
      </c>
      <c r="D13" s="14"/>
      <c r="E13" s="14">
        <v>54.56</v>
      </c>
      <c r="F13" s="14">
        <v>56</v>
      </c>
      <c r="G13" s="18">
        <v>111.48</v>
      </c>
      <c r="H13" s="16">
        <f>C13/C12-1</f>
        <v>-0.0246551401285812</v>
      </c>
      <c r="I13" s="16">
        <f>(E13-F13+G13-C13)/C13</f>
        <v>-0.964789453474978</v>
      </c>
      <c r="J13" s="16">
        <f>AVERAGE(I10:I13)</f>
        <v>-0.9619293349842269</v>
      </c>
      <c r="K13" s="16"/>
    </row>
    <row r="14" ht="20.05" customHeight="1">
      <c r="B14" s="29"/>
      <c r="C14" s="13">
        <v>3079.4</v>
      </c>
      <c r="D14" s="14"/>
      <c r="E14" s="14">
        <v>51.137</v>
      </c>
      <c r="F14" s="14">
        <v>55</v>
      </c>
      <c r="G14" s="18">
        <v>143.5</v>
      </c>
      <c r="H14" s="16">
        <f>C14/C13-1</f>
        <v>-0.0146550620760271</v>
      </c>
      <c r="I14" s="16">
        <f>(E14-F14+G14-C14)/C14</f>
        <v>-0.954654478145093</v>
      </c>
      <c r="J14" s="16">
        <f>AVERAGE(I11:I14)</f>
        <v>-0.963710370939759</v>
      </c>
      <c r="K14" s="16"/>
    </row>
    <row r="15" ht="20.05" customHeight="1">
      <c r="B15" s="30">
        <v>2018</v>
      </c>
      <c r="C15" s="13">
        <v>3526.48</v>
      </c>
      <c r="D15" s="14"/>
      <c r="E15" s="14">
        <v>56.599</v>
      </c>
      <c r="F15" s="14">
        <v>51</v>
      </c>
      <c r="G15" s="18">
        <v>141</v>
      </c>
      <c r="H15" s="16">
        <f>C15/C14-1</f>
        <v>0.145184126777944</v>
      </c>
      <c r="I15" s="16">
        <f>(E15-F15+G15-C15)/C15</f>
        <v>-0.958429085093351</v>
      </c>
      <c r="J15" s="16">
        <f>AVERAGE(I12:I15)</f>
        <v>-0.9607032738400501</v>
      </c>
      <c r="K15" s="16"/>
    </row>
    <row r="16" ht="20.05" customHeight="1">
      <c r="B16" s="29"/>
      <c r="C16" s="13">
        <v>3367.62</v>
      </c>
      <c r="D16" s="14"/>
      <c r="E16" s="14">
        <v>59.003</v>
      </c>
      <c r="F16" s="14">
        <v>30</v>
      </c>
      <c r="G16" s="18">
        <v>139.52</v>
      </c>
      <c r="H16" s="16">
        <f>C16/C15-1</f>
        <v>-0.0450477530001588</v>
      </c>
      <c r="I16" s="16">
        <f>(E16-F16+G16-C16)/C16</f>
        <v>-0.949957833722332</v>
      </c>
      <c r="J16" s="16">
        <f>AVERAGE(I13:I16)</f>
        <v>-0.956957712608939</v>
      </c>
      <c r="K16" s="16"/>
    </row>
    <row r="17" ht="20.05" customHeight="1">
      <c r="B17" s="29"/>
      <c r="C17" s="13">
        <v>3568.7</v>
      </c>
      <c r="D17" s="14"/>
      <c r="E17" s="14">
        <v>68.78100000000001</v>
      </c>
      <c r="F17" s="14">
        <v>63</v>
      </c>
      <c r="G17" s="18">
        <v>127.28</v>
      </c>
      <c r="H17" s="16">
        <f>C17/C16-1</f>
        <v>0.0597098247426966</v>
      </c>
      <c r="I17" s="16">
        <f>(E17-F17+G17-C17)/C17</f>
        <v>-0.962714433827444</v>
      </c>
      <c r="J17" s="16">
        <f>AVERAGE(I14:I17)</f>
        <v>-0.956438957697055</v>
      </c>
      <c r="K17" s="16"/>
    </row>
    <row r="18" ht="20.05" customHeight="1">
      <c r="B18" s="29"/>
      <c r="C18" s="13">
        <v>2940.8</v>
      </c>
      <c r="D18" s="14"/>
      <c r="E18" s="14">
        <v>61.723</v>
      </c>
      <c r="F18" s="14">
        <v>105</v>
      </c>
      <c r="G18" s="18">
        <v>153.2</v>
      </c>
      <c r="H18" s="16">
        <f>C18/C17-1</f>
        <v>-0.175946423067223</v>
      </c>
      <c r="I18" s="16">
        <f>(E18-F18+G18-C18)/C18</f>
        <v>-0.962621395538629</v>
      </c>
      <c r="J18" s="16">
        <f>AVERAGE(I15:I18)</f>
        <v>-0.958430687045439</v>
      </c>
      <c r="K18" s="16"/>
    </row>
    <row r="19" ht="20.05" customHeight="1">
      <c r="B19" s="30">
        <v>2019</v>
      </c>
      <c r="C19" s="13">
        <v>3567</v>
      </c>
      <c r="D19" s="14"/>
      <c r="E19" s="14">
        <v>115</v>
      </c>
      <c r="F19" s="14">
        <v>73</v>
      </c>
      <c r="G19" s="18">
        <v>160.5</v>
      </c>
      <c r="H19" s="16">
        <f>C19/C18-1</f>
        <v>0.212935255712731</v>
      </c>
      <c r="I19" s="16">
        <f>(E19-F19+G19-C19)/C19</f>
        <v>-0.94322960470984</v>
      </c>
      <c r="J19" s="16">
        <f>AVERAGE(I16:I19)</f>
        <v>-0.954630816949561</v>
      </c>
      <c r="K19" s="16"/>
    </row>
    <row r="20" ht="20.05" customHeight="1">
      <c r="B20" s="29"/>
      <c r="C20" s="13">
        <v>3215.8</v>
      </c>
      <c r="D20" s="14"/>
      <c r="E20" s="14">
        <v>115</v>
      </c>
      <c r="F20" s="14">
        <v>47.59</v>
      </c>
      <c r="G20" s="18">
        <v>148.64</v>
      </c>
      <c r="H20" s="16">
        <f>C20/C19-1</f>
        <v>-0.0984580880291562</v>
      </c>
      <c r="I20" s="16">
        <f>(E20-F20+G20-C20)/C20</f>
        <v>-0.932816095528329</v>
      </c>
      <c r="J20" s="16">
        <f>AVERAGE(I17:I20)</f>
        <v>-0.950345382401061</v>
      </c>
      <c r="K20" s="16"/>
    </row>
    <row r="21" ht="20.05" customHeight="1">
      <c r="B21" s="29"/>
      <c r="C21" s="13">
        <v>3247.2</v>
      </c>
      <c r="D21" s="21"/>
      <c r="E21" s="14">
        <v>115</v>
      </c>
      <c r="F21" s="14">
        <v>52.41</v>
      </c>
      <c r="G21" s="18">
        <v>124.46</v>
      </c>
      <c r="H21" s="16">
        <f>C21/C20-1</f>
        <v>0.009764288823931841</v>
      </c>
      <c r="I21" s="16">
        <f>(E21-F21+G21-C21)/C21</f>
        <v>-0.94239652623799</v>
      </c>
      <c r="J21" s="16">
        <f>AVERAGE(I18:I21)</f>
        <v>-0.945265905503697</v>
      </c>
      <c r="K21" s="16"/>
    </row>
    <row r="22" ht="20.05" customHeight="1">
      <c r="B22" s="29"/>
      <c r="C22" s="13">
        <v>2970</v>
      </c>
      <c r="D22" s="14">
        <v>3146.656</v>
      </c>
      <c r="E22" s="14">
        <v>115</v>
      </c>
      <c r="F22" s="14">
        <v>78</v>
      </c>
      <c r="G22" s="18">
        <v>149.4</v>
      </c>
      <c r="H22" s="16">
        <f>C22/C21-1</f>
        <v>-0.08536585365853661</v>
      </c>
      <c r="I22" s="16">
        <f>(E22-F22+G22-C22)/C22</f>
        <v>-0.937239057239057</v>
      </c>
      <c r="J22" s="16">
        <f>AVERAGE(I19:I22)</f>
        <v>-0.938920320928804</v>
      </c>
      <c r="K22" s="16"/>
    </row>
    <row r="23" ht="20.05" customHeight="1">
      <c r="B23" s="30">
        <v>2020</v>
      </c>
      <c r="C23" s="13">
        <v>3168.3</v>
      </c>
      <c r="D23" s="14">
        <v>3495.66</v>
      </c>
      <c r="E23" s="14">
        <v>72.084</v>
      </c>
      <c r="F23" s="31">
        <v>-6</v>
      </c>
      <c r="G23" s="18">
        <v>125</v>
      </c>
      <c r="H23" s="16">
        <f>C23/C22-1</f>
        <v>0.0667676767676768</v>
      </c>
      <c r="I23" s="16">
        <f>(E23-F23+G23-C23)/C23</f>
        <v>-0.935901271975507</v>
      </c>
      <c r="J23" s="16">
        <f>AVERAGE(I20:I23)</f>
        <v>-0.937088237745221</v>
      </c>
      <c r="K23" s="16"/>
    </row>
    <row r="24" ht="20.05" customHeight="1">
      <c r="B24" s="29"/>
      <c r="C24" s="13">
        <v>1288.25</v>
      </c>
      <c r="D24" s="14">
        <v>2894.22</v>
      </c>
      <c r="E24" s="14">
        <v>72.23399999999999</v>
      </c>
      <c r="F24" s="31">
        <v>-6</v>
      </c>
      <c r="G24" s="18">
        <v>-18.13</v>
      </c>
      <c r="H24" s="16">
        <f>C24/C23-1</f>
        <v>-0.593393933655273</v>
      </c>
      <c r="I24" s="16">
        <f>(E24-F24+G24-C24)/C24</f>
        <v>-0.953344459538133</v>
      </c>
      <c r="J24" s="16">
        <f>AVERAGE(I21:I24)</f>
        <v>-0.942220328747672</v>
      </c>
      <c r="K24" s="16"/>
    </row>
    <row r="25" ht="20.05" customHeight="1">
      <c r="B25" s="29"/>
      <c r="C25" s="13">
        <v>1724.45</v>
      </c>
      <c r="D25" s="14">
        <v>1623.6</v>
      </c>
      <c r="E25" s="14">
        <v>69.682</v>
      </c>
      <c r="F25" s="31">
        <v>-6</v>
      </c>
      <c r="G25" s="18">
        <v>21.13</v>
      </c>
      <c r="H25" s="16">
        <f>C25/C24-1</f>
        <v>0.338598874442073</v>
      </c>
      <c r="I25" s="16">
        <f>(E25-F25+G25-C25)/C25</f>
        <v>-0.943859201484531</v>
      </c>
      <c r="J25" s="16">
        <f>AVERAGE(I22:I25)</f>
        <v>-0.9425859975593071</v>
      </c>
      <c r="K25" s="16"/>
    </row>
    <row r="26" ht="20.05" customHeight="1">
      <c r="B26" s="29"/>
      <c r="C26" s="13">
        <f>8320.7-SUM(C23:C25)</f>
        <v>2139.7</v>
      </c>
      <c r="D26" s="14">
        <v>1983.1175</v>
      </c>
      <c r="E26" s="14">
        <f>291.5-SUM(E23:E25)</f>
        <v>77.5</v>
      </c>
      <c r="F26" s="31">
        <v>-6</v>
      </c>
      <c r="G26" s="18">
        <f>42.7-SUM(G23:G25)</f>
        <v>-85.3</v>
      </c>
      <c r="H26" s="16">
        <f>C26/C25-1</f>
        <v>0.240801414943895</v>
      </c>
      <c r="I26" s="16">
        <f>(E26-F26+G26-C26)/C26</f>
        <v>-1.00084123942609</v>
      </c>
      <c r="J26" s="16">
        <f>AVERAGE(I23:I26)</f>
        <v>-0.958486543106065</v>
      </c>
      <c r="K26" s="16"/>
    </row>
    <row r="27" ht="20.05" customHeight="1">
      <c r="B27" s="30">
        <v>2021</v>
      </c>
      <c r="C27" s="13">
        <v>2640</v>
      </c>
      <c r="D27" s="14">
        <v>2567.64</v>
      </c>
      <c r="E27" s="14">
        <v>70</v>
      </c>
      <c r="F27" s="32">
        <v>30.7</v>
      </c>
      <c r="G27" s="18">
        <v>96.2</v>
      </c>
      <c r="H27" s="16">
        <f>C27/C26-1</f>
        <v>0.233817824928728</v>
      </c>
      <c r="I27" s="16">
        <f>(E27-F27+G27-C27)/C27</f>
        <v>-0.948674242424242</v>
      </c>
      <c r="J27" s="16">
        <f>AVERAGE(I24:I27)</f>
        <v>-0.961679785718249</v>
      </c>
      <c r="K27" s="16"/>
    </row>
    <row r="28" ht="20.05" customHeight="1">
      <c r="B28" s="29"/>
      <c r="C28" s="13">
        <f>5606.3-C27</f>
        <v>2966.3</v>
      </c>
      <c r="D28" s="14">
        <v>2719.2</v>
      </c>
      <c r="E28" s="14">
        <v>70</v>
      </c>
      <c r="F28" s="18">
        <f>48.1-F27</f>
        <v>17.4</v>
      </c>
      <c r="G28" s="18">
        <f>214.9-G27</f>
        <v>118.7</v>
      </c>
      <c r="H28" s="16">
        <f>C28/C27-1</f>
        <v>0.123598484848485</v>
      </c>
      <c r="I28" s="16">
        <f>(E28-F28+G28-C28)/C28</f>
        <v>-0.942251289485217</v>
      </c>
      <c r="J28" s="16">
        <f>AVERAGE(I25:I28)</f>
        <v>-0.95890649320502</v>
      </c>
      <c r="K28" s="16"/>
    </row>
    <row r="29" ht="20.05" customHeight="1">
      <c r="B29" s="29"/>
      <c r="C29" s="13">
        <f>8643.6-SUM(C27:C28)</f>
        <v>3037.3</v>
      </c>
      <c r="D29" s="14">
        <v>2995.963</v>
      </c>
      <c r="E29" s="14">
        <v>70</v>
      </c>
      <c r="F29" s="18">
        <f>79.8-SUM(F27:F28)</f>
        <v>31.7</v>
      </c>
      <c r="G29" s="18">
        <f>367.1-SUM(G27:G28)</f>
        <v>152.2</v>
      </c>
      <c r="H29" s="16">
        <f>C29/C28-1</f>
        <v>0.0239355425951522</v>
      </c>
      <c r="I29" s="16">
        <f>(E29-F29+G29-C29)/C29</f>
        <v>-0.937279820893557</v>
      </c>
      <c r="J29" s="16">
        <f>AVERAGE(I26:I29)</f>
        <v>-0.957261648057277</v>
      </c>
      <c r="K29" s="16"/>
    </row>
    <row r="30" ht="20.05" customHeight="1">
      <c r="B30" s="29"/>
      <c r="C30" s="13">
        <f>12152-C29-C28-C27</f>
        <v>3508.4</v>
      </c>
      <c r="D30" s="14">
        <v>3067.673</v>
      </c>
      <c r="E30" s="31">
        <v>70</v>
      </c>
      <c r="F30" s="32">
        <f>182-F29-F28-F27</f>
        <v>102.2</v>
      </c>
      <c r="G30" s="18">
        <f>540.4-G29-G28-G27</f>
        <v>173.3</v>
      </c>
      <c r="H30" s="16">
        <f>C30/C29-1</f>
        <v>0.155104862871629</v>
      </c>
      <c r="I30" s="16">
        <f>(E30-F30+G30-C30)/C30</f>
        <v>-0.959782236917113</v>
      </c>
      <c r="J30" s="16">
        <f>AVERAGE(I27:I30)</f>
        <v>-0.946996897430032</v>
      </c>
      <c r="K30" s="16"/>
    </row>
    <row r="31" ht="20.05" customHeight="1">
      <c r="B31" s="30">
        <v>2022</v>
      </c>
      <c r="C31" s="13">
        <v>4068.2</v>
      </c>
      <c r="D31" s="14">
        <v>4034.66</v>
      </c>
      <c r="E31" s="18">
        <v>72.2</v>
      </c>
      <c r="F31" s="14">
        <v>52.6</v>
      </c>
      <c r="G31" s="14">
        <v>209.6</v>
      </c>
      <c r="H31" s="16">
        <f>C31/C30-1</f>
        <v>0.159559913350815</v>
      </c>
      <c r="I31" s="16">
        <f>(E31-F31+G31-C31)/C31</f>
        <v>-0.94366058699179</v>
      </c>
      <c r="J31" s="16">
        <f>AVERAGE(I28:I31)</f>
        <v>-0.945743483571919</v>
      </c>
      <c r="K31" s="16">
        <v>-0.946996897430032</v>
      </c>
    </row>
    <row r="32" ht="20.05" customHeight="1">
      <c r="B32" s="29"/>
      <c r="C32" s="13"/>
      <c r="D32" s="14">
        <f>'Model'!C6</f>
        <v>3946.154</v>
      </c>
      <c r="E32" s="21"/>
      <c r="F32" s="33"/>
      <c r="G32" s="14"/>
      <c r="H32" s="16"/>
      <c r="I32" s="21"/>
      <c r="J32" s="16"/>
      <c r="K32" s="16">
        <f>'Model'!C7</f>
        <v>-0.94366058699179</v>
      </c>
    </row>
    <row r="33" ht="20.05" customHeight="1">
      <c r="B33" s="29"/>
      <c r="C33" s="13"/>
      <c r="D33" s="14">
        <f>'Model'!D6</f>
        <v>4143.4617</v>
      </c>
      <c r="E33" s="21"/>
      <c r="F33" s="33"/>
      <c r="G33" s="14"/>
      <c r="H33" s="16"/>
      <c r="I33" s="16"/>
      <c r="J33" s="16"/>
      <c r="K33" s="16"/>
    </row>
    <row r="34" ht="20.05" customHeight="1">
      <c r="B34" s="29"/>
      <c r="C34" s="13"/>
      <c r="D34" s="14">
        <f>'Model'!E6</f>
        <v>4350.634785</v>
      </c>
      <c r="E34" s="14">
        <f>SUM(C22:C31)</f>
        <v>27510.9</v>
      </c>
      <c r="F34" s="14">
        <f>SUM(D22:D31)</f>
        <v>28528.3895</v>
      </c>
      <c r="G34" s="14"/>
      <c r="H34" s="16"/>
      <c r="I34" s="16"/>
      <c r="J34" s="16"/>
      <c r="K34" s="16"/>
    </row>
    <row r="35" ht="20.05" customHeight="1">
      <c r="B35" s="29"/>
      <c r="C35" s="13"/>
      <c r="D35" s="14">
        <f>'Model'!F6</f>
        <v>4916.21730705</v>
      </c>
      <c r="E35" s="21"/>
      <c r="F35" s="33"/>
      <c r="G35" s="14"/>
      <c r="H35" s="16"/>
      <c r="I35" s="16"/>
      <c r="J35" s="16"/>
      <c r="K35" s="16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0469" style="34" customWidth="1"/>
    <col min="2" max="2" width="8.85938" style="34" customWidth="1"/>
    <col min="3" max="15" width="11" style="34" customWidth="1"/>
    <col min="16" max="16384" width="16.3516" style="34" customWidth="1"/>
  </cols>
  <sheetData>
    <row r="1" ht="1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48</v>
      </c>
      <c r="G3" t="s" s="5">
        <v>11</v>
      </c>
      <c r="H3" t="s" s="5">
        <v>49</v>
      </c>
      <c r="I3" t="s" s="5">
        <v>10</v>
      </c>
      <c r="J3" t="s" s="5">
        <v>50</v>
      </c>
      <c r="K3" t="s" s="5">
        <v>51</v>
      </c>
      <c r="L3" t="s" s="5">
        <v>35</v>
      </c>
      <c r="M3" t="s" s="5">
        <v>30</v>
      </c>
      <c r="N3" t="s" s="5">
        <v>35</v>
      </c>
      <c r="O3" s="35"/>
    </row>
    <row r="4" ht="20.25" customHeight="1">
      <c r="B4" s="24">
        <v>2015</v>
      </c>
      <c r="C4" s="36">
        <v>2195</v>
      </c>
      <c r="D4" s="27">
        <v>-322</v>
      </c>
      <c r="E4" s="27">
        <v>-56.3</v>
      </c>
      <c r="F4" s="27"/>
      <c r="G4" s="27"/>
      <c r="H4" s="27"/>
      <c r="I4" s="27">
        <v>289.5</v>
      </c>
      <c r="J4" s="27">
        <f>E4+D4</f>
        <v>-378.3</v>
      </c>
      <c r="K4" s="37"/>
      <c r="L4" s="27"/>
      <c r="M4" s="27">
        <f>-I4</f>
        <v>-289.5</v>
      </c>
      <c r="N4" s="27"/>
      <c r="O4" s="27">
        <v>1</v>
      </c>
    </row>
    <row r="5" ht="20.05" customHeight="1">
      <c r="B5" s="29"/>
      <c r="C5" s="17">
        <v>2755</v>
      </c>
      <c r="D5" s="18">
        <v>351.7</v>
      </c>
      <c r="E5" s="18">
        <v>-67.3</v>
      </c>
      <c r="F5" s="18"/>
      <c r="G5" s="18"/>
      <c r="H5" s="18"/>
      <c r="I5" s="18">
        <v>-171.5</v>
      </c>
      <c r="J5" s="18">
        <f>E5+D5</f>
        <v>284.4</v>
      </c>
      <c r="K5" s="31"/>
      <c r="L5" s="18"/>
      <c r="M5" s="18">
        <f>-I5+M4</f>
        <v>-118</v>
      </c>
      <c r="N5" s="18"/>
      <c r="O5" s="18">
        <f>1+O4</f>
        <v>2</v>
      </c>
    </row>
    <row r="6" ht="20.05" customHeight="1">
      <c r="B6" s="29"/>
      <c r="C6" s="17">
        <v>2301</v>
      </c>
      <c r="D6" s="18">
        <v>-90.16</v>
      </c>
      <c r="E6" s="18">
        <v>50.4</v>
      </c>
      <c r="F6" s="18"/>
      <c r="G6" s="18"/>
      <c r="H6" s="18"/>
      <c r="I6" s="18">
        <v>-60.5</v>
      </c>
      <c r="J6" s="18">
        <f>E6+D6</f>
        <v>-39.76</v>
      </c>
      <c r="K6" s="31"/>
      <c r="L6" s="18"/>
      <c r="M6" s="18">
        <f>-I6+M5</f>
        <v>-57.5</v>
      </c>
      <c r="N6" s="18"/>
      <c r="O6" s="18">
        <f>1+O5</f>
        <v>3</v>
      </c>
    </row>
    <row r="7" ht="20.05" customHeight="1">
      <c r="B7" s="29"/>
      <c r="C7" s="17">
        <v>4136</v>
      </c>
      <c r="D7" s="18">
        <v>166.46</v>
      </c>
      <c r="E7" s="18">
        <v>-96.09999999999999</v>
      </c>
      <c r="F7" s="18"/>
      <c r="G7" s="18"/>
      <c r="H7" s="18"/>
      <c r="I7" s="18">
        <v>23</v>
      </c>
      <c r="J7" s="18">
        <f>E7+D7</f>
        <v>70.36</v>
      </c>
      <c r="K7" s="31"/>
      <c r="L7" s="18"/>
      <c r="M7" s="18">
        <f>-I7+M6</f>
        <v>-80.5</v>
      </c>
      <c r="N7" s="18"/>
      <c r="O7" s="18">
        <f>1+O6</f>
        <v>4</v>
      </c>
    </row>
    <row r="8" ht="20.05" customHeight="1">
      <c r="B8" s="30">
        <v>2016</v>
      </c>
      <c r="C8" s="17">
        <v>2661</v>
      </c>
      <c r="D8" s="18">
        <v>131.8</v>
      </c>
      <c r="E8" s="18">
        <v>-42.7</v>
      </c>
      <c r="F8" s="18"/>
      <c r="G8" s="18"/>
      <c r="H8" s="18"/>
      <c r="I8" s="18">
        <v>-90.5</v>
      </c>
      <c r="J8" s="18">
        <f>E8+D8</f>
        <v>89.09999999999999</v>
      </c>
      <c r="K8" s="18">
        <f>AVERAGE(J5:J8)</f>
        <v>101.025</v>
      </c>
      <c r="L8" s="18"/>
      <c r="M8" s="18">
        <f>-I8+M7</f>
        <v>10</v>
      </c>
      <c r="N8" s="18"/>
      <c r="O8" s="18">
        <f>1+O7</f>
        <v>5</v>
      </c>
    </row>
    <row r="9" ht="20.05" customHeight="1">
      <c r="B9" s="29"/>
      <c r="C9" s="17">
        <v>3313</v>
      </c>
      <c r="D9" s="18">
        <v>317.4</v>
      </c>
      <c r="E9" s="18">
        <v>21.4</v>
      </c>
      <c r="F9" s="18"/>
      <c r="G9" s="18"/>
      <c r="H9" s="18"/>
      <c r="I9" s="18">
        <v>-241.2</v>
      </c>
      <c r="J9" s="18">
        <f>E9+D9</f>
        <v>338.8</v>
      </c>
      <c r="K9" s="18">
        <f>AVERAGE(J6:J9)</f>
        <v>114.625</v>
      </c>
      <c r="L9" s="18"/>
      <c r="M9" s="18">
        <f>-I9+M8</f>
        <v>251.2</v>
      </c>
      <c r="N9" s="18"/>
      <c r="O9" s="18">
        <f>1+O8</f>
        <v>6</v>
      </c>
    </row>
    <row r="10" ht="20.05" customHeight="1">
      <c r="B10" s="29"/>
      <c r="C10" s="17">
        <v>3051</v>
      </c>
      <c r="D10" s="18">
        <v>22.3</v>
      </c>
      <c r="E10" s="18">
        <v>-39.2</v>
      </c>
      <c r="F10" s="18"/>
      <c r="G10" s="18"/>
      <c r="H10" s="18"/>
      <c r="I10" s="18">
        <v>129.4</v>
      </c>
      <c r="J10" s="18">
        <f>E10+D10</f>
        <v>-16.9</v>
      </c>
      <c r="K10" s="18">
        <f>AVERAGE(J7:J10)</f>
        <v>120.34</v>
      </c>
      <c r="L10" s="18"/>
      <c r="M10" s="18">
        <f>-I10+M9</f>
        <v>121.8</v>
      </c>
      <c r="N10" s="18"/>
      <c r="O10" s="18">
        <f>1+O9</f>
        <v>7</v>
      </c>
    </row>
    <row r="11" ht="20.05" customHeight="1">
      <c r="B11" s="29"/>
      <c r="C11" s="17">
        <v>3479</v>
      </c>
      <c r="D11" s="18">
        <v>-33.5</v>
      </c>
      <c r="E11" s="18">
        <v>-81.8</v>
      </c>
      <c r="F11" s="18"/>
      <c r="G11" s="18"/>
      <c r="H11" s="18"/>
      <c r="I11" s="18">
        <v>-115.7</v>
      </c>
      <c r="J11" s="18">
        <f>E11+D11</f>
        <v>-115.3</v>
      </c>
      <c r="K11" s="18">
        <f>AVERAGE(J8:J11)</f>
        <v>73.925</v>
      </c>
      <c r="L11" s="18"/>
      <c r="M11" s="18">
        <f>-I11+M10</f>
        <v>237.5</v>
      </c>
      <c r="N11" s="18"/>
      <c r="O11" s="18">
        <f>1+O10</f>
        <v>8</v>
      </c>
    </row>
    <row r="12" ht="20.05" customHeight="1">
      <c r="B12" s="30">
        <v>2017</v>
      </c>
      <c r="C12" s="17">
        <v>3170</v>
      </c>
      <c r="D12" s="18">
        <v>-546.3</v>
      </c>
      <c r="E12" s="18">
        <v>-27</v>
      </c>
      <c r="F12" s="18"/>
      <c r="G12" s="18"/>
      <c r="H12" s="18"/>
      <c r="I12" s="18">
        <v>509.49</v>
      </c>
      <c r="J12" s="18">
        <f>E12+D12</f>
        <v>-573.3</v>
      </c>
      <c r="K12" s="18">
        <f>AVERAGE(J9:J12)</f>
        <v>-91.675</v>
      </c>
      <c r="L12" s="18"/>
      <c r="M12" s="18">
        <f>-I12+M11</f>
        <v>-271.99</v>
      </c>
      <c r="N12" s="18"/>
      <c r="O12" s="18">
        <f>1+O11</f>
        <v>9</v>
      </c>
    </row>
    <row r="13" ht="20.05" customHeight="1">
      <c r="B13" s="29"/>
      <c r="C13" s="17">
        <v>3399</v>
      </c>
      <c r="D13" s="18">
        <v>593.1</v>
      </c>
      <c r="E13" s="18">
        <v>-69.5</v>
      </c>
      <c r="F13" s="18"/>
      <c r="G13" s="18"/>
      <c r="H13" s="18"/>
      <c r="I13" s="18">
        <v>-337.09</v>
      </c>
      <c r="J13" s="18">
        <f>E13+D13</f>
        <v>523.6</v>
      </c>
      <c r="K13" s="18">
        <f>AVERAGE(J10:J13)</f>
        <v>-45.475</v>
      </c>
      <c r="L13" s="18"/>
      <c r="M13" s="18">
        <f>-I13+M12</f>
        <v>65.09999999999999</v>
      </c>
      <c r="N13" s="18"/>
      <c r="O13" s="18">
        <f>1+O12</f>
        <v>10</v>
      </c>
    </row>
    <row r="14" ht="20.05" customHeight="1">
      <c r="B14" s="29"/>
      <c r="C14" s="17">
        <v>3128</v>
      </c>
      <c r="D14" s="18">
        <v>-92</v>
      </c>
      <c r="E14" s="18">
        <v>13.7</v>
      </c>
      <c r="F14" s="18"/>
      <c r="G14" s="18"/>
      <c r="H14" s="18"/>
      <c r="I14" s="18">
        <v>-99.09999999999999</v>
      </c>
      <c r="J14" s="18">
        <f>E14+D14</f>
        <v>-78.3</v>
      </c>
      <c r="K14" s="18">
        <f>AVERAGE(J11:J14)</f>
        <v>-60.825</v>
      </c>
      <c r="L14" s="18"/>
      <c r="M14" s="18">
        <f>-I14+M13</f>
        <v>164.2</v>
      </c>
      <c r="N14" s="18"/>
      <c r="O14" s="18">
        <f>1+O13</f>
        <v>11</v>
      </c>
    </row>
    <row r="15" ht="20.05" customHeight="1">
      <c r="B15" s="29"/>
      <c r="C15" s="17">
        <v>3268</v>
      </c>
      <c r="D15" s="18">
        <v>266.2</v>
      </c>
      <c r="E15" s="18">
        <v>-15.7</v>
      </c>
      <c r="F15" s="18"/>
      <c r="G15" s="18"/>
      <c r="H15" s="18"/>
      <c r="I15" s="18">
        <v>-45</v>
      </c>
      <c r="J15" s="18">
        <f>E15+D15</f>
        <v>250.5</v>
      </c>
      <c r="K15" s="18">
        <f>AVERAGE(J12:J15)</f>
        <v>30.625</v>
      </c>
      <c r="L15" s="18"/>
      <c r="M15" s="18">
        <f>-I15+M14</f>
        <v>209.2</v>
      </c>
      <c r="N15" s="18"/>
      <c r="O15" s="18">
        <f>1+O14</f>
        <v>12</v>
      </c>
    </row>
    <row r="16" ht="20.05" customHeight="1">
      <c r="B16" s="30">
        <v>2018</v>
      </c>
      <c r="C16" s="17">
        <v>3108</v>
      </c>
      <c r="D16" s="18">
        <v>37.98</v>
      </c>
      <c r="E16" s="18">
        <v>10.6</v>
      </c>
      <c r="F16" s="18"/>
      <c r="G16" s="18"/>
      <c r="H16" s="18"/>
      <c r="I16" s="18">
        <v>-13.87</v>
      </c>
      <c r="J16" s="18">
        <f>E16+D16</f>
        <v>48.58</v>
      </c>
      <c r="K16" s="18">
        <f>AVERAGE(J13:J16)</f>
        <v>186.095</v>
      </c>
      <c r="L16" s="18"/>
      <c r="M16" s="18">
        <f>-I16+M15</f>
        <v>223.07</v>
      </c>
      <c r="N16" s="18"/>
      <c r="O16" s="18">
        <f>1+O15</f>
        <v>13</v>
      </c>
    </row>
    <row r="17" ht="20.05" customHeight="1">
      <c r="B17" s="29"/>
      <c r="C17" s="17">
        <v>3733</v>
      </c>
      <c r="D17" s="18">
        <v>432.52</v>
      </c>
      <c r="E17" s="18">
        <v>-41.8</v>
      </c>
      <c r="F17" s="18"/>
      <c r="G17" s="18"/>
      <c r="H17" s="18"/>
      <c r="I17" s="18">
        <v>-280.76</v>
      </c>
      <c r="J17" s="18">
        <f>E17+D17</f>
        <v>390.72</v>
      </c>
      <c r="K17" s="18">
        <f>AVERAGE(J14:J17)</f>
        <v>152.875</v>
      </c>
      <c r="L17" s="18"/>
      <c r="M17" s="18">
        <f>-I17+M16</f>
        <v>503.83</v>
      </c>
      <c r="N17" s="18"/>
      <c r="O17" s="18">
        <f>1+O16</f>
        <v>14</v>
      </c>
    </row>
    <row r="18" ht="20.05" customHeight="1">
      <c r="B18" s="29"/>
      <c r="C18" s="17">
        <v>3558</v>
      </c>
      <c r="D18" s="18">
        <v>-114.9</v>
      </c>
      <c r="E18" s="18">
        <v>-66</v>
      </c>
      <c r="F18" s="18"/>
      <c r="G18" s="18"/>
      <c r="H18" s="18"/>
      <c r="I18" s="18">
        <v>154.63</v>
      </c>
      <c r="J18" s="18">
        <f>E18+D18</f>
        <v>-180.9</v>
      </c>
      <c r="K18" s="18">
        <f>AVERAGE(J15:J18)</f>
        <v>127.225</v>
      </c>
      <c r="L18" s="18"/>
      <c r="M18" s="18">
        <f>-I18+M17</f>
        <v>349.2</v>
      </c>
      <c r="N18" s="18"/>
      <c r="O18" s="18">
        <f>1+O17</f>
        <v>15</v>
      </c>
    </row>
    <row r="19" ht="20.05" customHeight="1">
      <c r="B19" s="29"/>
      <c r="C19" s="17">
        <v>3191</v>
      </c>
      <c r="D19" s="18">
        <v>-65.59999999999999</v>
      </c>
      <c r="E19" s="18">
        <v>-106.2</v>
      </c>
      <c r="F19" s="18"/>
      <c r="G19" s="18"/>
      <c r="H19" s="18"/>
      <c r="I19" s="18">
        <v>72.7</v>
      </c>
      <c r="J19" s="18">
        <f>E19+D19</f>
        <v>-171.8</v>
      </c>
      <c r="K19" s="18">
        <f>AVERAGE(J16:J19)</f>
        <v>21.65</v>
      </c>
      <c r="L19" s="18"/>
      <c r="M19" s="18">
        <f>-I19+M18</f>
        <v>276.5</v>
      </c>
      <c r="N19" s="18"/>
      <c r="O19" s="18">
        <f>1+O18</f>
        <v>16</v>
      </c>
    </row>
    <row r="20" ht="20.05" customHeight="1">
      <c r="B20" s="30">
        <v>2019</v>
      </c>
      <c r="C20" s="17">
        <v>3158</v>
      </c>
      <c r="D20" s="18">
        <v>148.2</v>
      </c>
      <c r="E20" s="18">
        <v>-10.76</v>
      </c>
      <c r="F20" s="18"/>
      <c r="G20" s="18"/>
      <c r="H20" s="18"/>
      <c r="I20" s="18">
        <v>-80.78</v>
      </c>
      <c r="J20" s="18">
        <f>E20+D20</f>
        <v>137.44</v>
      </c>
      <c r="K20" s="18">
        <f>AVERAGE(J17:J20)</f>
        <v>43.865</v>
      </c>
      <c r="L20" s="18"/>
      <c r="M20" s="18">
        <f>-I20+M19</f>
        <v>357.28</v>
      </c>
      <c r="N20" s="18"/>
      <c r="O20" s="18">
        <f>1+O19</f>
        <v>17</v>
      </c>
    </row>
    <row r="21" ht="20.05" customHeight="1">
      <c r="B21" s="29"/>
      <c r="C21" s="17">
        <v>3154</v>
      </c>
      <c r="D21" s="18">
        <v>123.3</v>
      </c>
      <c r="E21" s="18">
        <v>-35.94</v>
      </c>
      <c r="F21" s="18"/>
      <c r="G21" s="18"/>
      <c r="H21" s="18"/>
      <c r="I21" s="18">
        <v>-226.11</v>
      </c>
      <c r="J21" s="18">
        <f>E21+D21</f>
        <v>87.36</v>
      </c>
      <c r="K21" s="18">
        <f>AVERAGE(J18:J21)</f>
        <v>-31.975</v>
      </c>
      <c r="L21" s="18"/>
      <c r="M21" s="18">
        <f>-I21+M20</f>
        <v>583.39</v>
      </c>
      <c r="N21" s="18"/>
      <c r="O21" s="18">
        <f>1+O20</f>
        <v>18</v>
      </c>
    </row>
    <row r="22" ht="20.05" customHeight="1">
      <c r="B22" s="29"/>
      <c r="C22" s="17">
        <v>3407</v>
      </c>
      <c r="D22" s="18">
        <v>198.1</v>
      </c>
      <c r="E22" s="18">
        <v>-37.5</v>
      </c>
      <c r="F22" s="18"/>
      <c r="G22" s="18"/>
      <c r="H22" s="18"/>
      <c r="I22" s="18">
        <v>-35.61</v>
      </c>
      <c r="J22" s="18">
        <f>E22+D22</f>
        <v>160.6</v>
      </c>
      <c r="K22" s="18">
        <f>AVERAGE(J19:J22)</f>
        <v>53.4</v>
      </c>
      <c r="L22" s="18"/>
      <c r="M22" s="18">
        <f>-I22+M21</f>
        <v>619</v>
      </c>
      <c r="N22" s="18"/>
      <c r="O22" s="18">
        <f>1+O21</f>
        <v>19</v>
      </c>
    </row>
    <row r="23" ht="20.05" customHeight="1">
      <c r="B23" s="29"/>
      <c r="C23" s="17">
        <v>3471</v>
      </c>
      <c r="D23" s="18">
        <v>12.4</v>
      </c>
      <c r="E23" s="18">
        <v>-29.8</v>
      </c>
      <c r="F23" s="18"/>
      <c r="G23" s="18"/>
      <c r="H23" s="18"/>
      <c r="I23" s="18">
        <v>83.5</v>
      </c>
      <c r="J23" s="18">
        <f>E23+D23</f>
        <v>-17.4</v>
      </c>
      <c r="K23" s="18">
        <f>AVERAGE(J20:J23)</f>
        <v>92</v>
      </c>
      <c r="L23" s="18"/>
      <c r="M23" s="18">
        <f>-I23+M22</f>
        <v>535.5</v>
      </c>
      <c r="N23" s="18"/>
      <c r="O23" s="18">
        <f>1+O22</f>
        <v>20</v>
      </c>
    </row>
    <row r="24" ht="20.05" customHeight="1">
      <c r="B24" s="30">
        <v>2020</v>
      </c>
      <c r="C24" s="17">
        <v>2930</v>
      </c>
      <c r="D24" s="18">
        <v>67.2</v>
      </c>
      <c r="E24" s="18">
        <v>-3.5</v>
      </c>
      <c r="F24" s="18"/>
      <c r="G24" s="18"/>
      <c r="H24" s="18"/>
      <c r="I24" s="18">
        <v>-64.56999999999999</v>
      </c>
      <c r="J24" s="18">
        <f>E24+D24</f>
        <v>63.7</v>
      </c>
      <c r="K24" s="18">
        <f>AVERAGE(J21:J24)</f>
        <v>73.565</v>
      </c>
      <c r="L24" s="18"/>
      <c r="M24" s="18">
        <f>-I24+M23</f>
        <v>600.0700000000001</v>
      </c>
      <c r="N24" s="18"/>
      <c r="O24" s="18">
        <f>1+O23</f>
        <v>21</v>
      </c>
    </row>
    <row r="25" ht="20.05" customHeight="1">
      <c r="B25" s="29"/>
      <c r="C25" s="17">
        <v>1382</v>
      </c>
      <c r="D25" s="18">
        <v>430.4</v>
      </c>
      <c r="E25" s="18">
        <v>14.7</v>
      </c>
      <c r="F25" s="18"/>
      <c r="G25" s="18"/>
      <c r="H25" s="18"/>
      <c r="I25" s="18">
        <v>-288.03</v>
      </c>
      <c r="J25" s="18">
        <f>E25+D25</f>
        <v>445.1</v>
      </c>
      <c r="K25" s="18">
        <f>AVERAGE(J22:J25)</f>
        <v>163</v>
      </c>
      <c r="L25" s="18"/>
      <c r="M25" s="18">
        <f>-I25+M24</f>
        <v>888.1</v>
      </c>
      <c r="N25" s="18"/>
      <c r="O25" s="18">
        <f>1+O24</f>
        <v>22</v>
      </c>
    </row>
    <row r="26" ht="20.05" customHeight="1">
      <c r="B26" s="29"/>
      <c r="C26" s="17">
        <v>1775</v>
      </c>
      <c r="D26" s="18">
        <v>223.4</v>
      </c>
      <c r="E26" s="18">
        <v>-70.2</v>
      </c>
      <c r="F26" s="18"/>
      <c r="G26" s="18"/>
      <c r="H26" s="18"/>
      <c r="I26" s="18">
        <v>-81.40000000000001</v>
      </c>
      <c r="J26" s="18">
        <f>E26+D26</f>
        <v>153.2</v>
      </c>
      <c r="K26" s="18">
        <f>AVERAGE(J23:J26)</f>
        <v>161.15</v>
      </c>
      <c r="L26" s="18"/>
      <c r="M26" s="18">
        <f>-I26+M25</f>
        <v>969.5</v>
      </c>
      <c r="N26" s="18"/>
      <c r="O26" s="18">
        <f>1+O25</f>
        <v>23</v>
      </c>
    </row>
    <row r="27" ht="20.05" customHeight="1">
      <c r="B27" s="29"/>
      <c r="C27" s="17">
        <f>8392.1-SUM(C24:C26)</f>
        <v>2305.1</v>
      </c>
      <c r="D27" s="18">
        <f>1049.8-SUM(D24:D26)</f>
        <v>328.8</v>
      </c>
      <c r="E27" s="18">
        <f>-71.1-SUM(E24:E26)</f>
        <v>-12.1</v>
      </c>
      <c r="F27" s="18"/>
      <c r="G27" s="18"/>
      <c r="H27" s="18"/>
      <c r="I27" s="18">
        <f>-496.5-SUM(I24:I26)</f>
        <v>-62.5</v>
      </c>
      <c r="J27" s="18">
        <f>E27+D27</f>
        <v>316.7</v>
      </c>
      <c r="K27" s="18">
        <f>AVERAGE(J24:J27)</f>
        <v>244.675</v>
      </c>
      <c r="L27" s="18"/>
      <c r="M27" s="18">
        <f>-I27+M26</f>
        <v>1032</v>
      </c>
      <c r="N27" s="18"/>
      <c r="O27" s="18">
        <f>1+O26</f>
        <v>24</v>
      </c>
    </row>
    <row r="28" ht="20.05" customHeight="1">
      <c r="B28" s="30">
        <v>2021</v>
      </c>
      <c r="C28" s="17">
        <v>2325.6</v>
      </c>
      <c r="D28" s="18">
        <v>87.8</v>
      </c>
      <c r="E28" s="18">
        <v>-5.4</v>
      </c>
      <c r="F28" s="18">
        <v>-3.05</v>
      </c>
      <c r="G28" s="18">
        <v>197.8</v>
      </c>
      <c r="H28" s="18"/>
      <c r="I28" s="18">
        <f>197.8</f>
        <v>197.8</v>
      </c>
      <c r="J28" s="18">
        <f>E28+D28</f>
        <v>82.40000000000001</v>
      </c>
      <c r="K28" s="18">
        <f>AVERAGE(J25:J28)</f>
        <v>249.35</v>
      </c>
      <c r="L28" s="18"/>
      <c r="M28" s="18">
        <f>-I28+M27</f>
        <v>834.2</v>
      </c>
      <c r="N28" s="18"/>
      <c r="O28" s="18">
        <f>1+O27</f>
        <v>25</v>
      </c>
    </row>
    <row r="29" ht="20.05" customHeight="1">
      <c r="B29" s="29"/>
      <c r="C29" s="17">
        <f>5250.6-C28</f>
        <v>2925</v>
      </c>
      <c r="D29" s="18">
        <f>180.2-D28</f>
        <v>92.40000000000001</v>
      </c>
      <c r="E29" s="18">
        <f>-24.3-E28</f>
        <v>-18.9</v>
      </c>
      <c r="F29" s="18">
        <v>-3.05</v>
      </c>
      <c r="G29" s="18">
        <f>243-G28</f>
        <v>45.2</v>
      </c>
      <c r="H29" s="18"/>
      <c r="I29" s="18">
        <f>243-I28</f>
        <v>45.2</v>
      </c>
      <c r="J29" s="18">
        <f>E29+D29</f>
        <v>73.5</v>
      </c>
      <c r="K29" s="18">
        <f>AVERAGE(J26:J29)</f>
        <v>156.45</v>
      </c>
      <c r="L29" s="18"/>
      <c r="M29" s="18">
        <f>-I29+M28</f>
        <v>789</v>
      </c>
      <c r="N29" s="18"/>
      <c r="O29" s="18">
        <f>1+O28</f>
        <v>26</v>
      </c>
    </row>
    <row r="30" ht="20.05" customHeight="1">
      <c r="B30" s="29"/>
      <c r="C30" s="17">
        <f>8287.5-SUM(C28:C29)</f>
        <v>3036.9</v>
      </c>
      <c r="D30" s="18">
        <f>-14.1-SUM(D28:D29)</f>
        <v>-194.3</v>
      </c>
      <c r="E30" s="18">
        <f>-49-SUM(E28:E29)</f>
        <v>-24.7</v>
      </c>
      <c r="F30" s="18">
        <v>-3.05</v>
      </c>
      <c r="G30" s="18">
        <f>329-369+221-G29-G28</f>
        <v>-62</v>
      </c>
      <c r="H30" s="18">
        <v>-39</v>
      </c>
      <c r="I30" s="18">
        <f>141.8-SUM(I28:I29)</f>
        <v>-101.2</v>
      </c>
      <c r="J30" s="18">
        <f>E30+D30</f>
        <v>-219</v>
      </c>
      <c r="K30" s="18">
        <f>AVERAGE(J27:J30)</f>
        <v>63.4</v>
      </c>
      <c r="L30" s="18"/>
      <c r="M30" s="18">
        <f>-I30+M29</f>
        <v>890.2</v>
      </c>
      <c r="N30" s="18"/>
      <c r="O30" s="18">
        <f>1+O29</f>
        <v>27</v>
      </c>
    </row>
    <row r="31" ht="20.05" customHeight="1">
      <c r="B31" s="29"/>
      <c r="C31" s="17">
        <f>12168.3-C30-C29-C28</f>
        <v>3880.8</v>
      </c>
      <c r="D31" s="18">
        <f>366.6-D30-D29-D28</f>
        <v>380.7</v>
      </c>
      <c r="E31" s="18">
        <f>-52.6-E30-E29-E28</f>
        <v>-3.6</v>
      </c>
      <c r="F31" s="18">
        <v>-3.05</v>
      </c>
      <c r="G31" s="18">
        <f>418.4-410.8+251.6-G30-G29-G28</f>
        <v>78.2</v>
      </c>
      <c r="H31" s="18">
        <f>-200.9-0.25-H30-H29-H28</f>
        <v>-162.15</v>
      </c>
      <c r="I31" s="18">
        <f>46-I30-I29-I28</f>
        <v>-95.8</v>
      </c>
      <c r="J31" s="18">
        <f>E31+D31</f>
        <v>377.1</v>
      </c>
      <c r="K31" s="18">
        <f>AVERAGE(J28:J31)</f>
        <v>78.5</v>
      </c>
      <c r="L31" s="18"/>
      <c r="M31" s="18">
        <f>-I31+M30</f>
        <v>986</v>
      </c>
      <c r="N31" s="18"/>
      <c r="O31" s="18">
        <f>1+O30</f>
        <v>28</v>
      </c>
    </row>
    <row r="32" ht="20.05" customHeight="1">
      <c r="B32" s="30">
        <v>2022</v>
      </c>
      <c r="C32" s="17">
        <v>3519.9</v>
      </c>
      <c r="D32" s="18">
        <v>45.4</v>
      </c>
      <c r="E32" s="18">
        <v>-9.6</v>
      </c>
      <c r="F32" s="18">
        <v>0</v>
      </c>
      <c r="G32" s="18">
        <f>I32-H32-F32</f>
        <v>-191</v>
      </c>
      <c r="H32" s="18">
        <v>0</v>
      </c>
      <c r="I32" s="18">
        <v>-191</v>
      </c>
      <c r="J32" s="18">
        <f>E32+D32</f>
        <v>35.8</v>
      </c>
      <c r="K32" s="18">
        <f>AVERAGE(J29:J32)</f>
        <v>66.84999999999999</v>
      </c>
      <c r="L32" s="18">
        <v>234.257311687140</v>
      </c>
      <c r="M32" s="18">
        <f>-I32+M31</f>
        <v>1177</v>
      </c>
      <c r="N32" s="18">
        <v>1696.770223345260</v>
      </c>
      <c r="O32" s="18">
        <f>1+O31</f>
        <v>29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21"/>
      <c r="L33" s="18">
        <f>SUM('Model'!F9:F10)</f>
        <v>267.3767973</v>
      </c>
      <c r="M33" s="21"/>
      <c r="N33" s="18">
        <f>'Model'!F34</f>
        <v>1864.93887469</v>
      </c>
      <c r="O33" s="18">
        <f>1+O32</f>
        <v>30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15625" style="38" customWidth="1"/>
    <col min="2" max="2" width="10.2734" style="38" customWidth="1"/>
    <col min="3" max="4" width="12.0078" style="38" customWidth="1"/>
    <col min="5" max="10" width="10.2734" style="38" customWidth="1"/>
    <col min="11" max="16384" width="16.3516" style="38" customWidth="1"/>
  </cols>
  <sheetData>
    <row r="1" ht="27.65" customHeight="1">
      <c r="A1" t="s" s="2">
        <v>23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1</v>
      </c>
      <c r="B2" t="s" s="5">
        <v>52</v>
      </c>
      <c r="C2" t="s" s="5">
        <v>53</v>
      </c>
      <c r="D2" t="s" s="5">
        <v>24</v>
      </c>
      <c r="E2" t="s" s="5">
        <v>25</v>
      </c>
      <c r="F2" t="s" s="5">
        <v>11</v>
      </c>
      <c r="G2" t="s" s="5">
        <v>49</v>
      </c>
      <c r="H2" t="s" s="5">
        <v>54</v>
      </c>
      <c r="I2" t="s" s="5">
        <v>28</v>
      </c>
      <c r="J2" t="s" s="5">
        <v>35</v>
      </c>
    </row>
    <row r="3" ht="20.25" customHeight="1">
      <c r="A3" s="24">
        <v>2016</v>
      </c>
      <c r="B3" s="36">
        <v>107</v>
      </c>
      <c r="C3" s="27">
        <v>4638</v>
      </c>
      <c r="D3" s="27">
        <f>C3-B3</f>
        <v>4531</v>
      </c>
      <c r="E3" s="27">
        <f>'Sales'!E7</f>
        <v>65.681</v>
      </c>
      <c r="F3" s="27">
        <v>2151</v>
      </c>
      <c r="G3" s="27">
        <v>2487</v>
      </c>
      <c r="H3" s="27">
        <f>F3+G3-B3-D3</f>
        <v>0</v>
      </c>
      <c r="I3" s="27">
        <f>B3-F3</f>
        <v>-2044</v>
      </c>
      <c r="J3" s="27"/>
    </row>
    <row r="4" ht="20.05" customHeight="1">
      <c r="A4" s="29"/>
      <c r="B4" s="17">
        <v>311</v>
      </c>
      <c r="C4" s="18">
        <v>4530</v>
      </c>
      <c r="D4" s="18">
        <f>C4-B4</f>
        <v>4219</v>
      </c>
      <c r="E4" s="18">
        <f>'Sales'!E8+E3</f>
        <v>131.403</v>
      </c>
      <c r="F4" s="18">
        <v>1925</v>
      </c>
      <c r="G4" s="18">
        <v>2605</v>
      </c>
      <c r="H4" s="18">
        <f>F4+G4-B4-D4</f>
        <v>0</v>
      </c>
      <c r="I4" s="18">
        <f>B4-F4</f>
        <v>-1614</v>
      </c>
      <c r="J4" s="18"/>
    </row>
    <row r="5" ht="20.05" customHeight="1">
      <c r="A5" s="29"/>
      <c r="B5" s="17">
        <v>424</v>
      </c>
      <c r="C5" s="18">
        <v>5006</v>
      </c>
      <c r="D5" s="18">
        <f>C5-B5</f>
        <v>4582</v>
      </c>
      <c r="E5" s="18">
        <f>'Sales'!E9+E4</f>
        <v>199.712</v>
      </c>
      <c r="F5" s="18">
        <v>2254</v>
      </c>
      <c r="G5" s="18">
        <v>2752</v>
      </c>
      <c r="H5" s="18">
        <f>F5+G5-B5-D5</f>
        <v>0</v>
      </c>
      <c r="I5" s="18">
        <f>B5-F5</f>
        <v>-1830</v>
      </c>
      <c r="J5" s="18"/>
    </row>
    <row r="6" ht="20.05" customHeight="1">
      <c r="A6" s="29"/>
      <c r="B6" s="17">
        <v>192</v>
      </c>
      <c r="C6" s="18">
        <v>4978</v>
      </c>
      <c r="D6" s="18">
        <f>C6-B6</f>
        <v>4786</v>
      </c>
      <c r="E6" s="18">
        <f>'Sales'!E10+E5</f>
        <v>266.155</v>
      </c>
      <c r="F6" s="18">
        <v>2155</v>
      </c>
      <c r="G6" s="18">
        <v>2823</v>
      </c>
      <c r="H6" s="18">
        <f>F6+G6-B6-D6</f>
        <v>0</v>
      </c>
      <c r="I6" s="18">
        <f>B6-F6</f>
        <v>-1963</v>
      </c>
      <c r="J6" s="18"/>
    </row>
    <row r="7" ht="20.05" customHeight="1">
      <c r="A7" s="30">
        <v>2017</v>
      </c>
      <c r="B7" s="17">
        <v>131</v>
      </c>
      <c r="C7" s="18">
        <v>5467</v>
      </c>
      <c r="D7" s="18">
        <f>C7-B7</f>
        <v>5336</v>
      </c>
      <c r="E7" s="18">
        <f>'Sales'!E11+E6</f>
        <v>311.302</v>
      </c>
      <c r="F7" s="18">
        <v>2535</v>
      </c>
      <c r="G7" s="18">
        <v>2932</v>
      </c>
      <c r="H7" s="18">
        <f>F7+G7-B7-D7</f>
        <v>0</v>
      </c>
      <c r="I7" s="18">
        <f>B7-F7</f>
        <v>-2404</v>
      </c>
      <c r="J7" s="18"/>
    </row>
    <row r="8" ht="20.05" customHeight="1">
      <c r="A8" s="29"/>
      <c r="B8" s="17">
        <v>316</v>
      </c>
      <c r="C8" s="18">
        <v>5173</v>
      </c>
      <c r="D8" s="18">
        <f>C8-B8</f>
        <v>4857</v>
      </c>
      <c r="E8" s="18">
        <f>'Sales'!E12+E7</f>
        <v>361.921</v>
      </c>
      <c r="F8" s="18">
        <v>2237</v>
      </c>
      <c r="G8" s="18">
        <v>2936</v>
      </c>
      <c r="H8" s="18">
        <f>F8+G8-B8-D8</f>
        <v>0</v>
      </c>
      <c r="I8" s="18">
        <f>B8-F8</f>
        <v>-1921</v>
      </c>
      <c r="J8" s="18"/>
    </row>
    <row r="9" ht="20.05" customHeight="1">
      <c r="A9" s="29"/>
      <c r="B9" s="17">
        <v>147</v>
      </c>
      <c r="C9" s="18">
        <v>5332</v>
      </c>
      <c r="D9" s="18">
        <f>C9-B9</f>
        <v>5185</v>
      </c>
      <c r="E9" s="18">
        <f>'Sales'!E13+E8</f>
        <v>416.481</v>
      </c>
      <c r="F9" s="18">
        <v>2285</v>
      </c>
      <c r="G9" s="18">
        <v>3047</v>
      </c>
      <c r="H9" s="18">
        <f>F9+G9-B9-D9</f>
        <v>0</v>
      </c>
      <c r="I9" s="18">
        <f>B9-F9</f>
        <v>-2138</v>
      </c>
      <c r="J9" s="18"/>
    </row>
    <row r="10" ht="20.05" customHeight="1">
      <c r="A10" s="29"/>
      <c r="B10" s="17">
        <v>343</v>
      </c>
      <c r="C10" s="18">
        <v>5465</v>
      </c>
      <c r="D10" s="18">
        <f>C10-B10</f>
        <v>5122</v>
      </c>
      <c r="E10" s="18">
        <f>'Sales'!E14+E9</f>
        <v>467.618</v>
      </c>
      <c r="F10" s="18">
        <v>2327</v>
      </c>
      <c r="G10" s="18">
        <v>3138</v>
      </c>
      <c r="H10" s="18">
        <f>F10+G10-B10-D10</f>
        <v>0</v>
      </c>
      <c r="I10" s="18">
        <f>B10-F10</f>
        <v>-1984</v>
      </c>
      <c r="J10" s="18"/>
    </row>
    <row r="11" ht="20.05" customHeight="1">
      <c r="A11" s="30">
        <v>2018</v>
      </c>
      <c r="B11" s="17">
        <v>378</v>
      </c>
      <c r="C11" s="18">
        <v>5768</v>
      </c>
      <c r="D11" s="18">
        <f>C11-B11</f>
        <v>5390</v>
      </c>
      <c r="E11" s="18">
        <f>'Sales'!E15+E10</f>
        <v>524.217</v>
      </c>
      <c r="F11" s="18">
        <v>2492</v>
      </c>
      <c r="G11" s="18">
        <v>3276</v>
      </c>
      <c r="H11" s="18">
        <f>F11+G11-B11-D11</f>
        <v>0</v>
      </c>
      <c r="I11" s="18">
        <f>B11-F11</f>
        <v>-2114</v>
      </c>
      <c r="J11" s="18"/>
    </row>
    <row r="12" ht="20.05" customHeight="1">
      <c r="A12" s="29"/>
      <c r="B12" s="17">
        <v>487</v>
      </c>
      <c r="C12" s="18">
        <v>5647</v>
      </c>
      <c r="D12" s="18">
        <f>C12-B12</f>
        <v>5160</v>
      </c>
      <c r="E12" s="18">
        <f>'Sales'!E16+E11</f>
        <v>583.22</v>
      </c>
      <c r="F12" s="18">
        <v>2333</v>
      </c>
      <c r="G12" s="18">
        <v>3314</v>
      </c>
      <c r="H12" s="18">
        <f>F12+G12-B12-D12</f>
        <v>0</v>
      </c>
      <c r="I12" s="18">
        <f>B12-F12</f>
        <v>-1846</v>
      </c>
      <c r="J12" s="18"/>
    </row>
    <row r="13" ht="20.05" customHeight="1">
      <c r="A13" s="29"/>
      <c r="B13" s="17">
        <v>441</v>
      </c>
      <c r="C13" s="18">
        <v>5976</v>
      </c>
      <c r="D13" s="18">
        <f>C13-B13</f>
        <v>5535</v>
      </c>
      <c r="E13" s="18">
        <f>'Sales'!E17+E12</f>
        <v>652.001</v>
      </c>
      <c r="F13" s="18">
        <v>2532</v>
      </c>
      <c r="G13" s="18">
        <v>3444</v>
      </c>
      <c r="H13" s="18">
        <f>F13+G13-B13-D13</f>
        <v>0</v>
      </c>
      <c r="I13" s="18">
        <f>B13-F13</f>
        <v>-2091</v>
      </c>
      <c r="J13" s="18"/>
    </row>
    <row r="14" ht="20.05" customHeight="1">
      <c r="A14" s="29"/>
      <c r="B14" s="17">
        <v>362</v>
      </c>
      <c r="C14" s="18">
        <v>6036</v>
      </c>
      <c r="D14" s="18">
        <f>C14-B14</f>
        <v>5674</v>
      </c>
      <c r="E14" s="18">
        <f>'Sales'!E18+E13</f>
        <v>713.724</v>
      </c>
      <c r="F14" s="18">
        <v>2481</v>
      </c>
      <c r="G14" s="18">
        <v>3555</v>
      </c>
      <c r="H14" s="18">
        <f>F14+G14-B14-D14</f>
        <v>0</v>
      </c>
      <c r="I14" s="18">
        <f>B14-F14</f>
        <v>-2119</v>
      </c>
      <c r="J14" s="18"/>
    </row>
    <row r="15" ht="20.05" customHeight="1">
      <c r="A15" s="30">
        <v>2019</v>
      </c>
      <c r="B15" s="17">
        <v>426</v>
      </c>
      <c r="C15" s="18">
        <v>6203</v>
      </c>
      <c r="D15" s="18">
        <f>C15-B15</f>
        <v>5777</v>
      </c>
      <c r="E15" s="18">
        <f>'Sales'!E19+E14</f>
        <v>828.724</v>
      </c>
      <c r="F15" s="18">
        <v>2488</v>
      </c>
      <c r="G15" s="18">
        <v>3715</v>
      </c>
      <c r="H15" s="18">
        <f>F15+G15-B15-D15</f>
        <v>0</v>
      </c>
      <c r="I15" s="18">
        <f>B15-F15</f>
        <v>-2062</v>
      </c>
      <c r="J15" s="18"/>
    </row>
    <row r="16" ht="20.05" customHeight="1">
      <c r="A16" s="29"/>
      <c r="B16" s="17">
        <v>280</v>
      </c>
      <c r="C16" s="18">
        <v>6298</v>
      </c>
      <c r="D16" s="18">
        <f>C16-B16</f>
        <v>6018</v>
      </c>
      <c r="E16" s="18">
        <f>'Sales'!E20+E15</f>
        <v>943.724</v>
      </c>
      <c r="F16" s="18">
        <v>2562</v>
      </c>
      <c r="G16" s="18">
        <v>3736</v>
      </c>
      <c r="H16" s="18">
        <f>F16+G16-B16-D16</f>
        <v>0</v>
      </c>
      <c r="I16" s="18">
        <f>B16-F16</f>
        <v>-2282</v>
      </c>
      <c r="J16" s="18"/>
    </row>
    <row r="17" ht="20.05" customHeight="1">
      <c r="A17" s="29"/>
      <c r="B17" s="17">
        <v>405</v>
      </c>
      <c r="C17" s="18">
        <v>6171</v>
      </c>
      <c r="D17" s="18">
        <f>C17-B17</f>
        <v>5766</v>
      </c>
      <c r="E17" s="18">
        <f>'Sales'!E21+E16</f>
        <v>1058.724</v>
      </c>
      <c r="F17" s="18">
        <v>2313</v>
      </c>
      <c r="G17" s="18">
        <v>3858</v>
      </c>
      <c r="H17" s="18">
        <f>F17+G17-B17-D17</f>
        <v>0</v>
      </c>
      <c r="I17" s="18">
        <f>B17-F17</f>
        <v>-1908</v>
      </c>
      <c r="J17" s="18"/>
    </row>
    <row r="18" ht="20.05" customHeight="1">
      <c r="A18" s="29"/>
      <c r="B18" s="17">
        <v>482.6</v>
      </c>
      <c r="C18" s="18">
        <v>6292.6</v>
      </c>
      <c r="D18" s="18">
        <f>C18-B18</f>
        <v>5810</v>
      </c>
      <c r="E18" s="31">
        <f>841+1</f>
        <v>842</v>
      </c>
      <c r="F18" s="18">
        <v>2343.2</v>
      </c>
      <c r="G18" s="18">
        <v>3949.4</v>
      </c>
      <c r="H18" s="18">
        <f>F18+G18-B18-D18</f>
        <v>0</v>
      </c>
      <c r="I18" s="18">
        <f>B18-F18</f>
        <v>-1860.6</v>
      </c>
      <c r="J18" s="31"/>
    </row>
    <row r="19" ht="20.05" customHeight="1">
      <c r="A19" s="30">
        <v>2020</v>
      </c>
      <c r="B19" s="17">
        <v>470.23</v>
      </c>
      <c r="C19" s="18">
        <v>6346.3</v>
      </c>
      <c r="D19" s="18">
        <f>C19-B19</f>
        <v>5876.07</v>
      </c>
      <c r="E19" s="18">
        <f>'Sales'!E23+E18</f>
        <v>914.0839999999999</v>
      </c>
      <c r="F19" s="18">
        <v>2268.9</v>
      </c>
      <c r="G19" s="18">
        <v>4077.2</v>
      </c>
      <c r="H19" s="18">
        <f>F19+G19-B19-D19</f>
        <v>-0.2</v>
      </c>
      <c r="I19" s="18">
        <f>B19-F19</f>
        <v>-1798.67</v>
      </c>
      <c r="J19" s="31"/>
    </row>
    <row r="20" ht="20.05" customHeight="1">
      <c r="A20" s="29"/>
      <c r="B20" s="17">
        <v>627</v>
      </c>
      <c r="C20" s="18">
        <v>5749</v>
      </c>
      <c r="D20" s="18">
        <f>C20-B20</f>
        <v>5122</v>
      </c>
      <c r="E20" s="18">
        <f>'Sales'!E24+E19</f>
        <v>986.318</v>
      </c>
      <c r="F20" s="18">
        <v>1688</v>
      </c>
      <c r="G20" s="18">
        <v>4061</v>
      </c>
      <c r="H20" s="18">
        <f>F20+G20-B20-D20</f>
        <v>0</v>
      </c>
      <c r="I20" s="18">
        <f>B20-F20</f>
        <v>-1061</v>
      </c>
      <c r="J20" s="31"/>
    </row>
    <row r="21" ht="20.05" customHeight="1">
      <c r="A21" s="29"/>
      <c r="B21" s="17">
        <v>698</v>
      </c>
      <c r="C21" s="18">
        <v>5757</v>
      </c>
      <c r="D21" s="18">
        <f>C21-B21</f>
        <v>5059</v>
      </c>
      <c r="E21" s="31">
        <f>2+875</f>
        <v>877</v>
      </c>
      <c r="F21" s="18">
        <v>1771</v>
      </c>
      <c r="G21" s="18">
        <v>3986</v>
      </c>
      <c r="H21" s="18">
        <f>F21+G21-B21-D21</f>
        <v>0</v>
      </c>
      <c r="I21" s="18">
        <f>B21-F21</f>
        <v>-1073</v>
      </c>
      <c r="J21" s="18"/>
    </row>
    <row r="22" ht="20.05" customHeight="1">
      <c r="A22" s="29"/>
      <c r="B22" s="39">
        <v>953</v>
      </c>
      <c r="C22" s="18">
        <v>5765</v>
      </c>
      <c r="D22" s="18">
        <f>C22-B22</f>
        <v>4812</v>
      </c>
      <c r="E22" s="31">
        <f>2+895</f>
        <v>897</v>
      </c>
      <c r="F22" s="18">
        <v>1894</v>
      </c>
      <c r="G22" s="18">
        <v>3871</v>
      </c>
      <c r="H22" s="18">
        <f>F22+G22-B22-D22</f>
        <v>0</v>
      </c>
      <c r="I22" s="18">
        <f>B22-F22</f>
        <v>-941</v>
      </c>
      <c r="J22" s="18"/>
    </row>
    <row r="23" ht="20.05" customHeight="1">
      <c r="A23" s="30">
        <v>2021</v>
      </c>
      <c r="B23" s="17">
        <v>1233</v>
      </c>
      <c r="C23" s="18">
        <v>6098</v>
      </c>
      <c r="D23" s="18">
        <f>C23-B23</f>
        <v>4865</v>
      </c>
      <c r="E23" s="18">
        <f>2+911</f>
        <v>913</v>
      </c>
      <c r="F23" s="18">
        <v>2125</v>
      </c>
      <c r="G23" s="18">
        <v>3973</v>
      </c>
      <c r="H23" s="18">
        <f>F23+G23-B23-D23</f>
        <v>0</v>
      </c>
      <c r="I23" s="18">
        <f>B23-F23</f>
        <v>-892</v>
      </c>
      <c r="J23" s="18"/>
    </row>
    <row r="24" ht="20.05" customHeight="1">
      <c r="A24" s="29"/>
      <c r="B24" s="17">
        <v>1352</v>
      </c>
      <c r="C24" s="18">
        <v>6357</v>
      </c>
      <c r="D24" s="18">
        <f>C24-B24</f>
        <v>5005</v>
      </c>
      <c r="E24" s="18">
        <f>2+930</f>
        <v>932</v>
      </c>
      <c r="F24" s="18">
        <v>2260</v>
      </c>
      <c r="G24" s="18">
        <v>4097</v>
      </c>
      <c r="H24" s="18">
        <f>F24+G24-B24-D24</f>
        <v>0</v>
      </c>
      <c r="I24" s="18">
        <f>B24-F24</f>
        <v>-908</v>
      </c>
      <c r="J24" s="18"/>
    </row>
    <row r="25" ht="20.05" customHeight="1">
      <c r="A25" s="29"/>
      <c r="B25" s="17">
        <v>1032</v>
      </c>
      <c r="C25" s="18">
        <v>6359</v>
      </c>
      <c r="D25" s="18">
        <f>C25-B25</f>
        <v>5327</v>
      </c>
      <c r="E25" s="18">
        <f>2+918</f>
        <v>920</v>
      </c>
      <c r="F25" s="18">
        <v>2148</v>
      </c>
      <c r="G25" s="18">
        <v>4211</v>
      </c>
      <c r="H25" s="18">
        <f>F25+G25-B25-D25</f>
        <v>0</v>
      </c>
      <c r="I25" s="18">
        <f>B25-F25</f>
        <v>-1116</v>
      </c>
      <c r="J25" s="18"/>
    </row>
    <row r="26" ht="20.05" customHeight="1">
      <c r="A26" s="29"/>
      <c r="B26" s="17">
        <v>1313.3</v>
      </c>
      <c r="C26" s="18">
        <v>6800</v>
      </c>
      <c r="D26" s="18">
        <f>C26-B26</f>
        <v>5486.7</v>
      </c>
      <c r="E26" s="18">
        <v>939</v>
      </c>
      <c r="F26" s="18">
        <v>2557.8</v>
      </c>
      <c r="G26" s="18">
        <f>C26-F26</f>
        <v>4242.2</v>
      </c>
      <c r="H26" s="18">
        <f>F26+G26-B26-D26</f>
        <v>0</v>
      </c>
      <c r="I26" s="18">
        <f>B26-F26</f>
        <v>-1244.5</v>
      </c>
      <c r="J26" s="18"/>
    </row>
    <row r="27" ht="20.05" customHeight="1">
      <c r="A27" s="30">
        <v>2022</v>
      </c>
      <c r="B27" s="17">
        <v>1158</v>
      </c>
      <c r="C27" s="18">
        <v>6722</v>
      </c>
      <c r="D27" s="18">
        <f>C27-B27</f>
        <v>5564</v>
      </c>
      <c r="E27" s="18">
        <f>2+974</f>
        <v>976</v>
      </c>
      <c r="F27" s="18">
        <v>2254</v>
      </c>
      <c r="G27" s="18">
        <v>4468</v>
      </c>
      <c r="H27" s="18">
        <f>F27+G27-B27-D27</f>
        <v>0</v>
      </c>
      <c r="I27" s="18">
        <f>B27-F27</f>
        <v>-1096</v>
      </c>
      <c r="J27" s="18">
        <v>-609.499944277720</v>
      </c>
    </row>
    <row r="28" ht="20.05" customHeight="1">
      <c r="A28" s="29"/>
      <c r="B28" s="17"/>
      <c r="C28" s="18"/>
      <c r="D28" s="18"/>
      <c r="E28" s="18"/>
      <c r="F28" s="18"/>
      <c r="G28" s="18"/>
      <c r="H28" s="18"/>
      <c r="I28" s="18"/>
      <c r="J28" s="18">
        <f>'Model'!F32</f>
        <v>-426.38275489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40" customWidth="1"/>
    <col min="2" max="2" width="7.60938" style="40" customWidth="1"/>
    <col min="3" max="3" width="8.99219" style="40" customWidth="1"/>
    <col min="4" max="5" width="8.85156" style="40" customWidth="1"/>
    <col min="6" max="16384" width="16.3516" style="40" customWidth="1"/>
  </cols>
  <sheetData>
    <row r="1" ht="40.5" customHeight="1"/>
    <row r="2" ht="27.65" customHeight="1">
      <c r="B2" t="s" s="2">
        <v>55</v>
      </c>
      <c r="C2" s="2"/>
      <c r="D2" s="2"/>
      <c r="E2" s="2"/>
    </row>
    <row r="3" ht="20.35" customHeight="1">
      <c r="B3" s="4"/>
      <c r="C3" t="s" s="41">
        <v>55</v>
      </c>
      <c r="D3" t="s" s="42">
        <v>38</v>
      </c>
      <c r="E3" t="s" s="42">
        <v>56</v>
      </c>
    </row>
    <row r="4" ht="20.7" customHeight="1">
      <c r="B4" s="24">
        <v>2018</v>
      </c>
      <c r="C4" s="43">
        <v>1360</v>
      </c>
      <c r="D4" s="44"/>
      <c r="E4" s="44"/>
    </row>
    <row r="5" ht="20.7" customHeight="1">
      <c r="B5" s="29"/>
      <c r="C5" s="43">
        <v>1285</v>
      </c>
      <c r="D5" s="45"/>
      <c r="E5" s="45"/>
    </row>
    <row r="6" ht="20.7" customHeight="1">
      <c r="B6" s="29"/>
      <c r="C6" s="43">
        <v>1115</v>
      </c>
      <c r="D6" s="45"/>
      <c r="E6" s="45"/>
    </row>
    <row r="7" ht="20.7" customHeight="1">
      <c r="B7" s="29"/>
      <c r="C7" s="43">
        <v>1190</v>
      </c>
      <c r="D7" s="45"/>
      <c r="E7" s="45"/>
    </row>
    <row r="8" ht="20.7" customHeight="1">
      <c r="B8" s="30">
        <v>2019</v>
      </c>
      <c r="C8" s="43">
        <v>1165</v>
      </c>
      <c r="D8" s="45"/>
      <c r="E8" s="45"/>
    </row>
    <row r="9" ht="20.7" customHeight="1">
      <c r="B9" s="29"/>
      <c r="C9" s="43">
        <v>1100</v>
      </c>
      <c r="D9" s="45"/>
      <c r="E9" s="45"/>
    </row>
    <row r="10" ht="20.7" customHeight="1">
      <c r="B10" s="29"/>
      <c r="C10" s="43">
        <v>995</v>
      </c>
      <c r="D10" s="46"/>
      <c r="E10" s="46"/>
    </row>
    <row r="11" ht="20.35" customHeight="1">
      <c r="B11" s="29"/>
      <c r="C11" s="47">
        <v>900</v>
      </c>
      <c r="D11" s="18"/>
      <c r="E11" s="18"/>
    </row>
    <row r="12" ht="20.05" customHeight="1">
      <c r="B12" s="30">
        <v>2020</v>
      </c>
      <c r="C12" s="48">
        <v>1270</v>
      </c>
      <c r="D12" s="18"/>
      <c r="E12" s="18"/>
    </row>
    <row r="13" ht="20.05" customHeight="1">
      <c r="B13" s="29"/>
      <c r="C13" s="48">
        <v>1370</v>
      </c>
      <c r="D13" s="18"/>
      <c r="E13" s="18"/>
    </row>
    <row r="14" ht="20.05" customHeight="1">
      <c r="B14" s="29"/>
      <c r="C14" s="17">
        <v>1280</v>
      </c>
      <c r="D14" s="18"/>
      <c r="E14" s="18"/>
    </row>
    <row r="15" ht="20.05" customHeight="1">
      <c r="B15" s="29"/>
      <c r="C15" s="17">
        <v>1300</v>
      </c>
      <c r="D15" s="18"/>
      <c r="E15" s="18"/>
    </row>
    <row r="16" ht="20.05" customHeight="1">
      <c r="B16" s="30">
        <v>2021</v>
      </c>
      <c r="C16" s="17">
        <v>1240</v>
      </c>
      <c r="D16" s="18"/>
      <c r="E16" s="18"/>
    </row>
    <row r="17" ht="20.05" customHeight="1">
      <c r="B17" s="29"/>
      <c r="C17" s="17">
        <v>1150</v>
      </c>
      <c r="D17" s="18"/>
      <c r="E17" s="18"/>
    </row>
    <row r="18" ht="20.05" customHeight="1">
      <c r="B18" s="29"/>
      <c r="C18" s="17">
        <v>1370</v>
      </c>
      <c r="D18" s="18"/>
      <c r="E18" s="18"/>
    </row>
    <row r="19" ht="20.05" customHeight="1">
      <c r="B19" s="29"/>
      <c r="C19" s="17">
        <v>1300</v>
      </c>
      <c r="D19" s="18"/>
      <c r="E19" s="18"/>
    </row>
    <row r="20" ht="20.05" customHeight="1">
      <c r="B20" s="30">
        <v>2022</v>
      </c>
      <c r="C20" s="17">
        <v>1310</v>
      </c>
      <c r="D20" s="18"/>
      <c r="E20" s="18"/>
    </row>
    <row r="21" ht="20.05" customHeight="1">
      <c r="B21" s="29"/>
      <c r="C21" s="17">
        <v>1310</v>
      </c>
      <c r="D21" s="18">
        <v>2810.810545285710</v>
      </c>
      <c r="E21" s="21"/>
    </row>
    <row r="22" ht="20.05" customHeight="1">
      <c r="B22" s="29"/>
      <c r="C22" s="17"/>
      <c r="D22" s="18">
        <f>'Model'!F45</f>
        <v>2525.411731719460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