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<sst xmlns="http://schemas.openxmlformats.org/spreadsheetml/2006/main" uniqueCount="59">
  <si>
    <t>Financial model</t>
  </si>
  <si>
    <t>Rp bn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</si>
  <si>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</si>
  <si>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</si>
  <si>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</si>
  <si>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</si>
  <si>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</si>
  <si>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</si>
  <si>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</si>
  <si>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</si>
  <si>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Leases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</si>
  <si>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</si>
  <si>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</si>
  <si>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</si>
  <si>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</si>
  <si>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</si>
  <si>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</si>
  <si>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</si>
  <si>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</si>
  <si>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</si>
  <si>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</si>
  <si>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</si>
  <si>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</si>
  <si>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</si>
  <si>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</si>
  <si>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</si>
  <si>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</si>
  <si>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</si>
  <si>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</si>
  <si>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</si>
  <si>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</si>
  <si>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</si>
  <si>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</si>
  <si>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</si>
  <si>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</si>
  <si>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</si>
  <si>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</si>
  <si>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</si>
  <si>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</si>
  <si>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</si>
  <si>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</si>
  <si>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</si>
  <si>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v forecast </t>
  </si>
  <si>
    <t>Non cash costs</t>
  </si>
  <si>
    <t>Profit</t>
  </si>
  <si>
    <t xml:space="preserve">Sales growth </t>
  </si>
  <si>
    <t>Receipts</t>
  </si>
  <si>
    <t>Liabilities</t>
  </si>
  <si>
    <t>Equity</t>
  </si>
  <si>
    <t xml:space="preserve">Free cashflow </t>
  </si>
  <si>
    <t>Capital</t>
  </si>
  <si>
    <t>Cash</t>
  </si>
  <si>
    <t>Assets</t>
  </si>
  <si>
    <t>Multi financing</t>
  </si>
  <si>
    <t>Leasing liabilities</t>
  </si>
  <si>
    <t>Check</t>
  </si>
  <si>
    <t>Share price</t>
  </si>
  <si>
    <t>TSPC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</si>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</sst>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"/>
    <numFmt numFmtId="60" formatCode="#,##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3" borderId="7" applyNumberFormat="0" applyFont="1" applyFill="0" applyBorder="1" applyAlignment="1" applyProtection="0">
      <alignment horizontal="right" vertical="top" wrapText="1"/>
    </xf>
    <xf numFmtId="3" fontId="3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451032</xdr:colOff>
      <xdr:row>2</xdr:row>
      <xdr:rowOff>81724</xdr:rowOff>
    </xdr:from>
    <xdr:to>
      <xdr:col>13</xdr:col>
      <xdr:colOff>551352</xdr:colOff>
      <xdr:row>49</xdr:row>
      <xdr:rowOff>53152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502332" y="585279"/>
          <a:ext cx="8812521" cy="119443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4.7656" style="1" customWidth="1"/>
    <col min="3" max="6" width="9.11719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AVERAGE('Sales'!G24:G27)</f>
        <v>0.0203658377554873</v>
      </c>
      <c r="D4" s="8"/>
      <c r="E4" s="8"/>
      <c r="F4" s="9">
        <f>AVERAGE(C5:F5)</f>
        <v>0.0175</v>
      </c>
    </row>
    <row r="5" ht="20.05" customHeight="1">
      <c r="B5" t="s" s="10">
        <v>4</v>
      </c>
      <c r="C5" s="11">
        <v>0.02</v>
      </c>
      <c r="D5" s="12">
        <v>0.03</v>
      </c>
      <c r="E5" s="12">
        <v>0.03</v>
      </c>
      <c r="F5" s="12">
        <v>-0.01</v>
      </c>
    </row>
    <row r="6" ht="20.05" customHeight="1">
      <c r="B6" t="s" s="10">
        <v>5</v>
      </c>
      <c r="C6" s="13">
        <f>'Sales'!C27*(1+C5)</f>
        <v>3031.848</v>
      </c>
      <c r="D6" s="14">
        <f>C6*(1+D5)</f>
        <v>3122.80344</v>
      </c>
      <c r="E6" s="14">
        <f>D6*(1+E5)</f>
        <v>3216.4875432</v>
      </c>
      <c r="F6" s="14">
        <f>E6*(1+F5)</f>
        <v>3184.322667768</v>
      </c>
    </row>
    <row r="7" ht="20.05" customHeight="1">
      <c r="B7" t="s" s="10">
        <v>6</v>
      </c>
      <c r="C7" s="11">
        <f>AVERAGE('Sales'!I27)</f>
        <v>-0.900720450375893</v>
      </c>
      <c r="D7" s="12">
        <f>'Sales'!H11</f>
        <v>-0.888278003945104</v>
      </c>
      <c r="E7" s="12">
        <f>'Sales'!H20</f>
        <v>-0.930756159728122</v>
      </c>
      <c r="F7" s="12">
        <f>'Sales'!H21</f>
        <v>-0.926556562408652</v>
      </c>
    </row>
    <row r="8" ht="20.05" customHeight="1">
      <c r="B8" t="s" s="10">
        <v>7</v>
      </c>
      <c r="C8" s="15">
        <f>C6*C7</f>
        <v>-2730.847496031250</v>
      </c>
      <c r="D8" s="16">
        <f>D6*D7</f>
        <v>-2773.9176063961</v>
      </c>
      <c r="E8" s="16">
        <f>E6*E7</f>
        <v>-2993.765593522170</v>
      </c>
      <c r="F8" s="16">
        <f>F6*F7</f>
        <v>-2950.455064647070</v>
      </c>
    </row>
    <row r="9" ht="20.05" customHeight="1">
      <c r="B9" t="s" s="10">
        <v>8</v>
      </c>
      <c r="C9" s="15">
        <f>C6+C8</f>
        <v>301.000503968750</v>
      </c>
      <c r="D9" s="16">
        <f>D6+D8</f>
        <v>348.8858336039</v>
      </c>
      <c r="E9" s="16">
        <f>E6+E8</f>
        <v>222.721949677830</v>
      </c>
      <c r="F9" s="16">
        <f>F6+F8</f>
        <v>233.867603120930</v>
      </c>
    </row>
    <row r="10" ht="20.05" customHeight="1">
      <c r="B10" t="s" s="10">
        <v>9</v>
      </c>
      <c r="C10" s="15">
        <f>AVERAGE('Cashflow '!F25:F28)</f>
        <v>-99.34999999999999</v>
      </c>
      <c r="D10" s="16">
        <f>C10</f>
        <v>-99.34999999999999</v>
      </c>
      <c r="E10" s="16">
        <f>D10</f>
        <v>-99.34999999999999</v>
      </c>
      <c r="F10" s="16">
        <f>E10</f>
        <v>-99.34999999999999</v>
      </c>
    </row>
    <row r="11" ht="20.05" customHeight="1">
      <c r="B11" t="s" s="10">
        <v>10</v>
      </c>
      <c r="C11" s="15">
        <f>AVERAGE('Cashflow '!D28)</f>
        <v>-15.4</v>
      </c>
      <c r="D11" s="16">
        <f>C11</f>
        <v>-15.4</v>
      </c>
      <c r="E11" s="16">
        <f>D11</f>
        <v>-15.4</v>
      </c>
      <c r="F11" s="16">
        <f>E11</f>
        <v>-15.4</v>
      </c>
    </row>
    <row r="12" ht="20.05" customHeight="1">
      <c r="B12" t="s" s="10">
        <v>11</v>
      </c>
      <c r="C12" s="15">
        <f>C13+C16+C14</f>
        <v>-201.650503968750</v>
      </c>
      <c r="D12" s="16">
        <f>D13+D16+D14</f>
        <v>-249.5358336039</v>
      </c>
      <c r="E12" s="16">
        <f>E13+E16+E14</f>
        <v>-123.371949677830</v>
      </c>
      <c r="F12" s="16">
        <f>F13+F16+F14</f>
        <v>-134.517603120930</v>
      </c>
    </row>
    <row r="13" ht="20.05" customHeight="1">
      <c r="B13" t="s" s="10">
        <v>12</v>
      </c>
      <c r="C13" s="15">
        <f>-'Balance sheet'!I28/20</f>
        <v>-161.3</v>
      </c>
      <c r="D13" s="16">
        <f>-C28/20</f>
        <v>-153.235</v>
      </c>
      <c r="E13" s="16">
        <f>-D28/20</f>
        <v>-145.57325</v>
      </c>
      <c r="F13" s="16">
        <f>-E28/20</f>
        <v>-138.2945875</v>
      </c>
    </row>
    <row r="14" ht="20.05" customHeight="1">
      <c r="B14" t="s" s="10">
        <v>13</v>
      </c>
      <c r="C14" s="15">
        <f>-MIN(0,C17)</f>
        <v>27.779647221875</v>
      </c>
      <c r="D14" s="16">
        <f>-MIN(C29,D17)</f>
        <v>-13.805083522730</v>
      </c>
      <c r="E14" s="16">
        <f>-MIN(D29,E17)</f>
        <v>66.84788522551899</v>
      </c>
      <c r="F14" s="16">
        <f>-MIN(E29,F17)</f>
        <v>51.767265315349</v>
      </c>
    </row>
    <row r="15" ht="20.05" customHeight="1">
      <c r="B15" t="s" s="10">
        <v>14</v>
      </c>
      <c r="C15" s="17">
        <v>0.3</v>
      </c>
      <c r="D15" s="16"/>
      <c r="E15" s="16"/>
      <c r="F15" s="16"/>
    </row>
    <row r="16" ht="20.05" customHeight="1">
      <c r="B16" t="s" s="10">
        <v>15</v>
      </c>
      <c r="C16" s="15">
        <f>IF(C23&gt;0,-C23*$C$15,0)</f>
        <v>-68.130151190625</v>
      </c>
      <c r="D16" s="16">
        <f>IF(D23&gt;0,-D23*$C$15,0)</f>
        <v>-82.495750081170</v>
      </c>
      <c r="E16" s="16">
        <f>IF(E23&gt;0,-E23*$C$15,0)</f>
        <v>-44.646584903349</v>
      </c>
      <c r="F16" s="16">
        <f>IF(F23&gt;0,-F23*$C$15,0)</f>
        <v>-47.990280936279</v>
      </c>
    </row>
    <row r="17" ht="20.05" customHeight="1">
      <c r="B17" t="s" s="10">
        <v>16</v>
      </c>
      <c r="C17" s="15">
        <f>C9+C10+C13+C16</f>
        <v>-27.779647221875</v>
      </c>
      <c r="D17" s="16">
        <f>D9+D10+D13+D16</f>
        <v>13.805083522730</v>
      </c>
      <c r="E17" s="16">
        <f>E9+E10+E13+E16</f>
        <v>-66.84788522551899</v>
      </c>
      <c r="F17" s="16">
        <f>F9+F10+F13+F16</f>
        <v>-51.767265315349</v>
      </c>
    </row>
    <row r="18" ht="20.05" customHeight="1">
      <c r="B18" t="s" s="10">
        <v>17</v>
      </c>
      <c r="C18" s="15">
        <f>'Balance sheet'!C28</f>
        <v>2793</v>
      </c>
      <c r="D18" s="16">
        <f>C20</f>
        <v>2793</v>
      </c>
      <c r="E18" s="16">
        <f>D20</f>
        <v>2793</v>
      </c>
      <c r="F18" s="16">
        <f>E20</f>
        <v>2793</v>
      </c>
    </row>
    <row r="19" ht="20.05" customHeight="1">
      <c r="B19" t="s" s="10">
        <v>18</v>
      </c>
      <c r="C19" s="15">
        <f>C9+C10+C12</f>
        <v>0</v>
      </c>
      <c r="D19" s="16">
        <f>D9+D10+D12</f>
        <v>0</v>
      </c>
      <c r="E19" s="16">
        <f>E9+E10+E12</f>
        <v>0</v>
      </c>
      <c r="F19" s="16">
        <f>F9+F10+F12</f>
        <v>0</v>
      </c>
    </row>
    <row r="20" ht="20.05" customHeight="1">
      <c r="B20" t="s" s="10">
        <v>19</v>
      </c>
      <c r="C20" s="15">
        <f>C18+C19</f>
        <v>2793</v>
      </c>
      <c r="D20" s="16">
        <f>D18+D19</f>
        <v>2793</v>
      </c>
      <c r="E20" s="16">
        <f>E18+E19</f>
        <v>2793</v>
      </c>
      <c r="F20" s="16">
        <f>F18+F19</f>
        <v>2793</v>
      </c>
    </row>
    <row r="21" ht="20.05" customHeight="1">
      <c r="B21" t="s" s="18">
        <v>20</v>
      </c>
      <c r="C21" s="15"/>
      <c r="D21" s="16"/>
      <c r="E21" s="16"/>
      <c r="F21" s="19"/>
    </row>
    <row r="22" ht="20.05" customHeight="1">
      <c r="B22" t="s" s="10">
        <v>21</v>
      </c>
      <c r="C22" s="15">
        <f>-AVERAGE('Sales'!E27)</f>
        <v>-73.90000000000001</v>
      </c>
      <c r="D22" s="16">
        <f>C22</f>
        <v>-73.90000000000001</v>
      </c>
      <c r="E22" s="16">
        <f>D22</f>
        <v>-73.90000000000001</v>
      </c>
      <c r="F22" s="16">
        <f>E22</f>
        <v>-73.90000000000001</v>
      </c>
    </row>
    <row r="23" ht="20.05" customHeight="1">
      <c r="B23" t="s" s="10">
        <v>20</v>
      </c>
      <c r="C23" s="15">
        <f>C6+C8+C22</f>
        <v>227.100503968750</v>
      </c>
      <c r="D23" s="16">
        <f>D6+D8+D22</f>
        <v>274.9858336039</v>
      </c>
      <c r="E23" s="16">
        <f>E6+E8+E22</f>
        <v>148.821949677830</v>
      </c>
      <c r="F23" s="16">
        <f>F6+F8+F22</f>
        <v>159.967603120930</v>
      </c>
    </row>
    <row r="24" ht="20.05" customHeight="1">
      <c r="B24" t="s" s="18">
        <v>22</v>
      </c>
      <c r="C24" s="15"/>
      <c r="D24" s="16"/>
      <c r="E24" s="16"/>
      <c r="F24" s="16"/>
    </row>
    <row r="25" ht="20.05" customHeight="1">
      <c r="B25" t="s" s="10">
        <v>23</v>
      </c>
      <c r="C25" s="15">
        <f>'Balance sheet'!E28+'Balance sheet'!F28-C10</f>
        <v>9450.35</v>
      </c>
      <c r="D25" s="16">
        <f>C25-D10</f>
        <v>9549.700000000001</v>
      </c>
      <c r="E25" s="16">
        <f>D25-E10</f>
        <v>9649.049999999999</v>
      </c>
      <c r="F25" s="16">
        <f>E25-F10</f>
        <v>9748.4</v>
      </c>
    </row>
    <row r="26" ht="20.05" customHeight="1">
      <c r="B26" t="s" s="10">
        <v>24</v>
      </c>
      <c r="C26" s="15">
        <f>'Balance sheet'!F28-C22</f>
        <v>1826.9</v>
      </c>
      <c r="D26" s="16">
        <f>C26-D22</f>
        <v>1900.8</v>
      </c>
      <c r="E26" s="16">
        <f>D26-E22</f>
        <v>1974.7</v>
      </c>
      <c r="F26" s="16">
        <f>E26-F22</f>
        <v>2048.6</v>
      </c>
    </row>
    <row r="27" ht="20.05" customHeight="1">
      <c r="B27" t="s" s="10">
        <v>25</v>
      </c>
      <c r="C27" s="15">
        <f>C25-C26</f>
        <v>7623.45</v>
      </c>
      <c r="D27" s="16">
        <f>D25-D26</f>
        <v>7648.9</v>
      </c>
      <c r="E27" s="16">
        <f>E25-E26</f>
        <v>7674.35</v>
      </c>
      <c r="F27" s="16">
        <f>F25-F26</f>
        <v>7699.8</v>
      </c>
    </row>
    <row r="28" ht="20.05" customHeight="1">
      <c r="B28" t="s" s="10">
        <v>12</v>
      </c>
      <c r="C28" s="15">
        <f>'Balance sheet'!I28+C13</f>
        <v>3064.7</v>
      </c>
      <c r="D28" s="16">
        <f>C28+D13</f>
        <v>2911.465</v>
      </c>
      <c r="E28" s="16">
        <f>D28+E13</f>
        <v>2765.89175</v>
      </c>
      <c r="F28" s="16">
        <f>E28+F13</f>
        <v>2627.5971625</v>
      </c>
    </row>
    <row r="29" ht="20.05" customHeight="1">
      <c r="B29" t="s" s="10">
        <v>13</v>
      </c>
      <c r="C29" s="15">
        <f>C14</f>
        <v>27.779647221875</v>
      </c>
      <c r="D29" s="16">
        <f>C29+D14</f>
        <v>13.974563699145</v>
      </c>
      <c r="E29" s="16">
        <f>D29+E14</f>
        <v>80.822448924664</v>
      </c>
      <c r="F29" s="16">
        <f>E29+F14</f>
        <v>132.589714240013</v>
      </c>
    </row>
    <row r="30" ht="20.05" customHeight="1">
      <c r="B30" t="s" s="10">
        <v>15</v>
      </c>
      <c r="C30" s="15">
        <f>'Balance sheet'!J28+C23+C16</f>
        <v>7323.970352778130</v>
      </c>
      <c r="D30" s="16">
        <f>C30+D23+D16</f>
        <v>7516.460436300860</v>
      </c>
      <c r="E30" s="16">
        <f>D30+E23+E16</f>
        <v>7620.635801075340</v>
      </c>
      <c r="F30" s="16">
        <f>E30+F23+F16</f>
        <v>7732.613123259990</v>
      </c>
    </row>
    <row r="31" ht="20.05" customHeight="1">
      <c r="B31" t="s" s="10">
        <v>26</v>
      </c>
      <c r="C31" s="15">
        <f>C28+C29+C30-C20-C27</f>
        <v>5e-12</v>
      </c>
      <c r="D31" s="16">
        <f>D28+D29+D30-D20-D27</f>
        <v>5e-12</v>
      </c>
      <c r="E31" s="16">
        <f>E28+E29+E30-E20-E27</f>
        <v>4e-12</v>
      </c>
      <c r="F31" s="16">
        <f>F28+F29+F30-F20-F27</f>
        <v>3e-12</v>
      </c>
    </row>
    <row r="32" ht="20.05" customHeight="1">
      <c r="B32" t="s" s="10">
        <v>27</v>
      </c>
      <c r="C32" s="15">
        <f>C20-C28-C29</f>
        <v>-299.479647221875</v>
      </c>
      <c r="D32" s="16">
        <f>D20-D28-D29</f>
        <v>-132.439563699145</v>
      </c>
      <c r="E32" s="16">
        <f>E20-E28-E29</f>
        <v>-53.714198924664</v>
      </c>
      <c r="F32" s="16">
        <f>F20-F28-F29</f>
        <v>32.813123259987</v>
      </c>
    </row>
    <row r="33" ht="20.05" customHeight="1">
      <c r="B33" t="s" s="18">
        <v>28</v>
      </c>
      <c r="C33" s="15"/>
      <c r="D33" s="16"/>
      <c r="E33" s="16"/>
      <c r="F33" s="16"/>
    </row>
    <row r="34" ht="20.05" customHeight="1">
      <c r="B34" t="s" s="10">
        <v>29</v>
      </c>
      <c r="C34" s="15">
        <f>'Cashflow '!N28-C12</f>
        <v>773.050503968750</v>
      </c>
      <c r="D34" s="16">
        <f>C34-D12</f>
        <v>1022.586337572650</v>
      </c>
      <c r="E34" s="16">
        <f>D34-E12</f>
        <v>1145.958287250480</v>
      </c>
      <c r="F34" s="16">
        <f>E34-F12</f>
        <v>1280.475890371410</v>
      </c>
    </row>
    <row r="35" ht="20.05" customHeight="1">
      <c r="B35" t="s" s="10">
        <v>30</v>
      </c>
      <c r="C35" s="15"/>
      <c r="D35" s="16"/>
      <c r="E35" s="16"/>
      <c r="F35" s="16">
        <v>6313803776000</v>
      </c>
    </row>
    <row r="36" ht="20.05" customHeight="1">
      <c r="B36" t="s" s="10">
        <v>30</v>
      </c>
      <c r="C36" s="15"/>
      <c r="D36" s="16"/>
      <c r="E36" s="16"/>
      <c r="F36" s="16">
        <f>F35/1000000000</f>
        <v>6313.803776</v>
      </c>
    </row>
    <row r="37" ht="20.05" customHeight="1">
      <c r="B37" t="s" s="10">
        <v>31</v>
      </c>
      <c r="C37" s="15"/>
      <c r="D37" s="16"/>
      <c r="E37" s="16"/>
      <c r="F37" s="20">
        <f>F36/(F20+F27)</f>
        <v>0.601727258310461</v>
      </c>
    </row>
    <row r="38" ht="20.05" customHeight="1">
      <c r="B38" t="s" s="10">
        <v>32</v>
      </c>
      <c r="C38" s="15"/>
      <c r="D38" s="16"/>
      <c r="E38" s="16"/>
      <c r="F38" s="21">
        <f>-(C16+D16+E16+F16)/F36</f>
        <v>0.0385287183038713</v>
      </c>
    </row>
    <row r="39" ht="20.05" customHeight="1">
      <c r="B39" t="s" s="10">
        <v>33</v>
      </c>
      <c r="C39" s="15"/>
      <c r="D39" s="16"/>
      <c r="E39" s="16"/>
      <c r="F39" s="16">
        <f>SUM(C9:F11)</f>
        <v>647.4758903714099</v>
      </c>
    </row>
    <row r="40" ht="20.05" customHeight="1">
      <c r="B40" t="s" s="10">
        <v>34</v>
      </c>
      <c r="C40" s="15"/>
      <c r="D40" s="16"/>
      <c r="E40" s="16"/>
      <c r="F40" s="16">
        <f>'Balance sheet'!E28/F39</f>
        <v>11.7347998790219</v>
      </c>
    </row>
    <row r="41" ht="20.05" customHeight="1">
      <c r="B41" t="s" s="10">
        <v>28</v>
      </c>
      <c r="C41" s="15"/>
      <c r="D41" s="16"/>
      <c r="E41" s="16"/>
      <c r="F41" s="16">
        <f>F36/F39</f>
        <v>9.751411395995341</v>
      </c>
    </row>
    <row r="42" ht="20.05" customHeight="1">
      <c r="B42" t="s" s="10">
        <v>35</v>
      </c>
      <c r="C42" s="15"/>
      <c r="D42" s="16"/>
      <c r="E42" s="16"/>
      <c r="F42" s="16">
        <v>15</v>
      </c>
    </row>
    <row r="43" ht="20.05" customHeight="1">
      <c r="B43" t="s" s="10">
        <v>36</v>
      </c>
      <c r="C43" s="15"/>
      <c r="D43" s="16"/>
      <c r="E43" s="16"/>
      <c r="F43" s="16">
        <f>F39*F42</f>
        <v>9712.138355571151</v>
      </c>
    </row>
    <row r="44" ht="20.05" customHeight="1">
      <c r="B44" t="s" s="10">
        <v>37</v>
      </c>
      <c r="C44" s="15"/>
      <c r="D44" s="16"/>
      <c r="E44" s="16"/>
      <c r="F44" s="16">
        <f>F36/F46</f>
        <v>4.50985984</v>
      </c>
    </row>
    <row r="45" ht="20.05" customHeight="1">
      <c r="B45" t="s" s="10">
        <v>38</v>
      </c>
      <c r="C45" s="15"/>
      <c r="D45" s="16"/>
      <c r="E45" s="16"/>
      <c r="F45" s="16">
        <f>F43/F44</f>
        <v>2153.534411298060</v>
      </c>
    </row>
    <row r="46" ht="20.05" customHeight="1">
      <c r="B46" t="s" s="10">
        <v>39</v>
      </c>
      <c r="C46" s="15"/>
      <c r="D46" s="16"/>
      <c r="E46" s="16"/>
      <c r="F46" s="16">
        <v>1400</v>
      </c>
    </row>
    <row r="47" ht="20.05" customHeight="1">
      <c r="B47" t="s" s="10">
        <v>40</v>
      </c>
      <c r="C47" s="15"/>
      <c r="D47" s="16"/>
      <c r="E47" s="16"/>
      <c r="F47" s="21">
        <f>F45/F46-1</f>
        <v>0.5382388652129</v>
      </c>
    </row>
    <row r="48" ht="20.05" customHeight="1">
      <c r="B48" t="s" s="10">
        <v>41</v>
      </c>
      <c r="C48" s="15"/>
      <c r="D48" s="16"/>
      <c r="E48" s="16"/>
      <c r="F48" s="21">
        <f>'Sales'!C27/'Sales'!C23-1</f>
        <v>0.0833940807697915</v>
      </c>
    </row>
    <row r="49" ht="20.05" customHeight="1">
      <c r="B49" t="s" s="10">
        <v>42</v>
      </c>
      <c r="C49" s="15"/>
      <c r="D49" s="16"/>
      <c r="E49" s="16"/>
      <c r="F49" s="21">
        <f>'Sales'!F30/'Sales'!E30-1</f>
        <v>0.0041154674658737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3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2" customWidth="1"/>
    <col min="2" max="10" width="10.9688" style="22" customWidth="1"/>
    <col min="11" max="16384" width="16.3516" style="22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</row>
    <row r="2" ht="32.25" customHeight="1">
      <c r="B2" t="s" s="5">
        <v>1</v>
      </c>
      <c r="C2" t="s" s="5">
        <v>5</v>
      </c>
      <c r="D2" t="s" s="5">
        <v>35</v>
      </c>
      <c r="E2" t="s" s="5">
        <v>43</v>
      </c>
      <c r="F2" t="s" s="5">
        <v>44</v>
      </c>
      <c r="G2" t="s" s="5">
        <v>45</v>
      </c>
      <c r="H2" t="s" s="5">
        <v>6</v>
      </c>
      <c r="I2" t="s" s="5">
        <v>6</v>
      </c>
      <c r="J2" t="s" s="5">
        <v>35</v>
      </c>
    </row>
    <row r="3" ht="20.25" customHeight="1">
      <c r="B3" s="23">
        <v>2016</v>
      </c>
      <c r="C3" s="24">
        <v>2198.7</v>
      </c>
      <c r="D3" s="25"/>
      <c r="E3" s="25">
        <v>45</v>
      </c>
      <c r="F3" s="25">
        <v>209.5</v>
      </c>
      <c r="G3" s="9"/>
      <c r="H3" s="9">
        <f>(E3+F3-C3)/C3</f>
        <v>-0.884249783963251</v>
      </c>
      <c r="I3" s="9"/>
      <c r="J3" s="9"/>
    </row>
    <row r="4" ht="20.05" customHeight="1">
      <c r="B4" s="26"/>
      <c r="C4" s="13">
        <v>2489</v>
      </c>
      <c r="D4" s="14"/>
      <c r="E4" s="14">
        <v>39.3</v>
      </c>
      <c r="F4" s="14">
        <v>137.6</v>
      </c>
      <c r="G4" s="12">
        <f>C4/C3-1</f>
        <v>0.132032564697321</v>
      </c>
      <c r="H4" s="12">
        <f>(E4+F4-C4)/C4</f>
        <v>-0.928927280032141</v>
      </c>
      <c r="I4" s="12"/>
      <c r="J4" s="12"/>
    </row>
    <row r="5" ht="20.05" customHeight="1">
      <c r="B5" s="26"/>
      <c r="C5" s="13">
        <v>2116.5</v>
      </c>
      <c r="D5" s="14"/>
      <c r="E5" s="14">
        <v>50</v>
      </c>
      <c r="F5" s="14">
        <v>120.5</v>
      </c>
      <c r="G5" s="12">
        <f>C5/C4-1</f>
        <v>-0.149658497388509</v>
      </c>
      <c r="H5" s="12">
        <f>(E5+F5-C5)/C5</f>
        <v>-0.919442475785495</v>
      </c>
      <c r="I5" s="12"/>
      <c r="J5" s="12"/>
    </row>
    <row r="6" ht="20.05" customHeight="1">
      <c r="B6" s="26"/>
      <c r="C6" s="13">
        <v>2334</v>
      </c>
      <c r="D6" s="14"/>
      <c r="E6" s="14">
        <v>46.1</v>
      </c>
      <c r="F6" s="14">
        <v>77.90000000000001</v>
      </c>
      <c r="G6" s="12">
        <f>C6/C5-1</f>
        <v>0.102763997165131</v>
      </c>
      <c r="H6" s="12">
        <f>(E6+F6-C6)/C6</f>
        <v>-0.946872322193659</v>
      </c>
      <c r="I6" s="12"/>
      <c r="J6" s="12"/>
    </row>
    <row r="7" ht="20.05" customHeight="1">
      <c r="B7" s="27">
        <v>2017</v>
      </c>
      <c r="C7" s="13">
        <v>2343.1</v>
      </c>
      <c r="D7" s="14"/>
      <c r="E7" s="14">
        <v>46.1</v>
      </c>
      <c r="F7" s="14">
        <v>211.7</v>
      </c>
      <c r="G7" s="12">
        <f>C7/C6-1</f>
        <v>0.00389888603256213</v>
      </c>
      <c r="H7" s="12">
        <f>(E7+F7-C7)/C7</f>
        <v>-0.889974819683326</v>
      </c>
      <c r="I7" s="12">
        <f>AVERAGE(H4:H7)</f>
        <v>-0.921304224423655</v>
      </c>
      <c r="J7" s="12"/>
    </row>
    <row r="8" ht="20.05" customHeight="1">
      <c r="B8" s="26"/>
      <c r="C8" s="13">
        <v>2254.6</v>
      </c>
      <c r="D8" s="14"/>
      <c r="E8" s="14">
        <v>42</v>
      </c>
      <c r="F8" s="14">
        <v>133.4</v>
      </c>
      <c r="G8" s="12">
        <f>C8/C7-1</f>
        <v>-0.0377704750117366</v>
      </c>
      <c r="H8" s="12">
        <f>(E8+F8-C8)/C8</f>
        <v>-0.922203495076732</v>
      </c>
      <c r="I8" s="12">
        <f>AVERAGE(H5:H8)</f>
        <v>-0.9196232781848031</v>
      </c>
      <c r="J8" s="12"/>
    </row>
    <row r="9" ht="20.05" customHeight="1">
      <c r="B9" s="26"/>
      <c r="C9" s="13">
        <v>2435.9</v>
      </c>
      <c r="D9" s="14"/>
      <c r="E9" s="14">
        <v>43.2</v>
      </c>
      <c r="F9" s="14">
        <v>105.7</v>
      </c>
      <c r="G9" s="12">
        <f>C9/C8-1</f>
        <v>0.0804133770957154</v>
      </c>
      <c r="H9" s="12">
        <f>(E9+F9-C9)/C9</f>
        <v>-0.938872695923478</v>
      </c>
      <c r="I9" s="12">
        <f>AVERAGE(H6:H9)</f>
        <v>-0.924480833219299</v>
      </c>
      <c r="J9" s="12"/>
    </row>
    <row r="10" ht="20.05" customHeight="1">
      <c r="B10" s="26"/>
      <c r="C10" s="13">
        <v>2531.9</v>
      </c>
      <c r="D10" s="14"/>
      <c r="E10" s="14">
        <v>56.1</v>
      </c>
      <c r="F10" s="14">
        <v>106.5</v>
      </c>
      <c r="G10" s="12">
        <f>C10/C9-1</f>
        <v>0.0394104848310686</v>
      </c>
      <c r="H10" s="12">
        <f>(E10+F10-C10)/C10</f>
        <v>-0.935779454164856</v>
      </c>
      <c r="I10" s="12">
        <f>AVERAGE(H7:H10)</f>
        <v>-0.921707616212098</v>
      </c>
      <c r="J10" s="12"/>
    </row>
    <row r="11" ht="20.05" customHeight="1">
      <c r="B11" s="27">
        <v>2018</v>
      </c>
      <c r="C11" s="13">
        <v>2382.7</v>
      </c>
      <c r="D11" s="14"/>
      <c r="E11" s="14">
        <v>51.8</v>
      </c>
      <c r="F11" s="14">
        <v>214.4</v>
      </c>
      <c r="G11" s="12">
        <f>C11/C10-1</f>
        <v>-0.0589280777281883</v>
      </c>
      <c r="H11" s="12">
        <f>(E11+F11-C11)/C11</f>
        <v>-0.888278003945104</v>
      </c>
      <c r="I11" s="12">
        <f>AVERAGE(H8:H11)</f>
        <v>-0.921283412277543</v>
      </c>
      <c r="J11" s="12"/>
    </row>
    <row r="12" ht="20.05" customHeight="1">
      <c r="B12" s="26"/>
      <c r="C12" s="13">
        <v>2420.8</v>
      </c>
      <c r="D12" s="14"/>
      <c r="E12" s="14">
        <v>53.6</v>
      </c>
      <c r="F12" s="14">
        <v>135.6</v>
      </c>
      <c r="G12" s="12">
        <f>C12/C11-1</f>
        <v>0.0159902631468502</v>
      </c>
      <c r="H12" s="12">
        <f>(E12+F12-C12)/C12</f>
        <v>-0.921844018506279</v>
      </c>
      <c r="I12" s="12">
        <f>AVERAGE(H9:H12)</f>
        <v>-0.921193543134929</v>
      </c>
      <c r="J12" s="12"/>
    </row>
    <row r="13" ht="20.05" customHeight="1">
      <c r="B13" s="26"/>
      <c r="C13" s="13">
        <v>2618.4</v>
      </c>
      <c r="D13" s="14"/>
      <c r="E13" s="14">
        <v>53.5</v>
      </c>
      <c r="F13" s="14">
        <v>85.59999999999999</v>
      </c>
      <c r="G13" s="12">
        <f>C13/C12-1</f>
        <v>0.0816259087904825</v>
      </c>
      <c r="H13" s="12">
        <f>(E13+F13-C13)/C13</f>
        <v>-0.946875954781546</v>
      </c>
      <c r="I13" s="12">
        <f>AVERAGE(H10:H13)</f>
        <v>-0.923194357849446</v>
      </c>
      <c r="J13" s="12"/>
    </row>
    <row r="14" ht="20.05" customHeight="1">
      <c r="B14" s="26"/>
      <c r="C14" s="13">
        <v>2666.2</v>
      </c>
      <c r="D14" s="14"/>
      <c r="E14" s="14">
        <v>48.4</v>
      </c>
      <c r="F14" s="14">
        <v>104.8</v>
      </c>
      <c r="G14" s="12">
        <f>C14/C13-1</f>
        <v>0.0182554231591812</v>
      </c>
      <c r="H14" s="12">
        <f>(E14+F14-C14)/C14</f>
        <v>-0.942539944490286</v>
      </c>
      <c r="I14" s="12">
        <f>AVERAGE(H11:H14)</f>
        <v>-0.924884480430804</v>
      </c>
      <c r="J14" s="12"/>
    </row>
    <row r="15" ht="20.05" customHeight="1">
      <c r="B15" s="27">
        <v>2019</v>
      </c>
      <c r="C15" s="13">
        <v>2704.5</v>
      </c>
      <c r="D15" s="14"/>
      <c r="E15" s="14">
        <v>56</v>
      </c>
      <c r="F15" s="14">
        <v>219.8</v>
      </c>
      <c r="G15" s="12">
        <f>C15/C14-1</f>
        <v>0.0143650138774285</v>
      </c>
      <c r="H15" s="12">
        <f>(E15+F15-C15)/C15</f>
        <v>-0.898021815492697</v>
      </c>
      <c r="I15" s="12">
        <f>AVERAGE(H12:H15)</f>
        <v>-0.927320433317702</v>
      </c>
      <c r="J15" s="12"/>
    </row>
    <row r="16" ht="20.05" customHeight="1">
      <c r="B16" s="26"/>
      <c r="C16" s="13">
        <v>2656</v>
      </c>
      <c r="D16" s="14"/>
      <c r="E16" s="14">
        <v>56.7</v>
      </c>
      <c r="F16" s="14">
        <v>128.4</v>
      </c>
      <c r="G16" s="12">
        <f>C16/C15-1</f>
        <v>-0.0179330745054539</v>
      </c>
      <c r="H16" s="12">
        <f>(E16+F16-C16)/C16</f>
        <v>-0.930308734939759</v>
      </c>
      <c r="I16" s="12">
        <f>AVERAGE(H13:H16)</f>
        <v>-0.929436612426072</v>
      </c>
      <c r="J16" s="12"/>
    </row>
    <row r="17" ht="20.05" customHeight="1">
      <c r="B17" s="26"/>
      <c r="C17" s="13">
        <v>2811.5</v>
      </c>
      <c r="D17" s="14"/>
      <c r="E17" s="14">
        <v>55.8</v>
      </c>
      <c r="F17" s="14">
        <v>93.40000000000001</v>
      </c>
      <c r="G17" s="12">
        <f>C17/C16-1</f>
        <v>0.058546686746988</v>
      </c>
      <c r="H17" s="12">
        <f>(E17+F17-C17)/C17</f>
        <v>-0.946932242575138</v>
      </c>
      <c r="I17" s="12">
        <f>AVERAGE(H14:H17)</f>
        <v>-0.92945068437447</v>
      </c>
      <c r="J17" s="12"/>
    </row>
    <row r="18" ht="20.05" customHeight="1">
      <c r="B18" s="26"/>
      <c r="C18" s="13">
        <v>2821.8</v>
      </c>
      <c r="D18" s="14"/>
      <c r="E18" s="14">
        <v>69.8</v>
      </c>
      <c r="F18" s="14">
        <v>153.6</v>
      </c>
      <c r="G18" s="12">
        <f>C18/C17-1</f>
        <v>0.00366352480882091</v>
      </c>
      <c r="H18" s="12">
        <f>(E18+F18-C18)/C18</f>
        <v>-0.920830675455383</v>
      </c>
      <c r="I18" s="12">
        <f>AVERAGE(H15:H18)</f>
        <v>-0.924023367115744</v>
      </c>
      <c r="J18" s="12"/>
    </row>
    <row r="19" ht="20.05" customHeight="1">
      <c r="B19" s="27">
        <v>2020</v>
      </c>
      <c r="C19" s="13">
        <v>2765.4</v>
      </c>
      <c r="D19" s="14"/>
      <c r="E19" s="14">
        <v>59.7</v>
      </c>
      <c r="F19" s="14">
        <v>307.3</v>
      </c>
      <c r="G19" s="12">
        <f>C19/C18-1</f>
        <v>-0.0199872421858388</v>
      </c>
      <c r="H19" s="12">
        <f>(E19+F19-C19)/C19</f>
        <v>-0.867288638171693</v>
      </c>
      <c r="I19" s="12">
        <f>AVERAGE(H16:H19)</f>
        <v>-0.916340072785493</v>
      </c>
      <c r="J19" s="12"/>
    </row>
    <row r="20" ht="20.05" customHeight="1">
      <c r="B20" s="26"/>
      <c r="C20" s="13">
        <v>2589.4</v>
      </c>
      <c r="D20" s="14"/>
      <c r="E20" s="14">
        <v>84.90000000000001</v>
      </c>
      <c r="F20" s="14">
        <v>94.40000000000001</v>
      </c>
      <c r="G20" s="12">
        <f>C20/C19-1</f>
        <v>-0.0636435958631663</v>
      </c>
      <c r="H20" s="12">
        <f>(E20+F20-C20)/C20</f>
        <v>-0.930756159728122</v>
      </c>
      <c r="I20" s="12">
        <f>AVERAGE(H17:H20)</f>
        <v>-0.916451928982584</v>
      </c>
      <c r="J20" s="12"/>
    </row>
    <row r="21" ht="20.05" customHeight="1">
      <c r="B21" s="26"/>
      <c r="C21" s="13">
        <v>2736.8</v>
      </c>
      <c r="D21" s="19"/>
      <c r="E21" s="14">
        <v>68.09999999999999</v>
      </c>
      <c r="F21" s="14">
        <v>132.9</v>
      </c>
      <c r="G21" s="12">
        <f>C21/C20-1</f>
        <v>0.0569243840271878</v>
      </c>
      <c r="H21" s="12">
        <f>(E21+F21-C21)/C21</f>
        <v>-0.926556562408652</v>
      </c>
      <c r="I21" s="12">
        <f>AVERAGE(H18:H21)</f>
        <v>-0.911358008940963</v>
      </c>
      <c r="J21" s="12"/>
    </row>
    <row r="22" ht="20.05" customHeight="1">
      <c r="B22" s="26"/>
      <c r="C22" s="13">
        <f>10968.4-SUM(C19:C21)</f>
        <v>2876.8</v>
      </c>
      <c r="D22" s="14">
        <v>2818.904</v>
      </c>
      <c r="E22" s="14">
        <f>268.4-SUM(E19:E21)</f>
        <v>55.7</v>
      </c>
      <c r="F22" s="14">
        <f>834.36-SUM(F19:F21)</f>
        <v>299.76</v>
      </c>
      <c r="G22" s="12">
        <f>C22/C21-1</f>
        <v>0.0511546331482023</v>
      </c>
      <c r="H22" s="12">
        <f>(E22+F22-C22)/C22</f>
        <v>-0.8764390989988881</v>
      </c>
      <c r="I22" s="12">
        <f>AVERAGE(H19:H22)</f>
        <v>-0.900260114826839</v>
      </c>
      <c r="J22" s="12"/>
    </row>
    <row r="23" ht="20.05" customHeight="1">
      <c r="B23" s="27">
        <v>2021</v>
      </c>
      <c r="C23" s="13">
        <v>2743.6</v>
      </c>
      <c r="D23" s="14">
        <v>2876.8</v>
      </c>
      <c r="E23" s="14">
        <v>69.90000000000001</v>
      </c>
      <c r="F23" s="14">
        <v>312</v>
      </c>
      <c r="G23" s="12">
        <f>C23/C22-1</f>
        <v>-0.046301446051168</v>
      </c>
      <c r="H23" s="12">
        <f>(E23+F23-C23)/C23</f>
        <v>-0.860803324099723</v>
      </c>
      <c r="I23" s="12">
        <f>AVERAGE(H20:H23)</f>
        <v>-0.898638786308846</v>
      </c>
      <c r="J23" s="12"/>
    </row>
    <row r="24" ht="20.05" customHeight="1">
      <c r="B24" s="26"/>
      <c r="C24" s="13">
        <f>5485.1-C23</f>
        <v>2741.5</v>
      </c>
      <c r="D24" s="14">
        <v>2798.472</v>
      </c>
      <c r="E24" s="14">
        <f>140.2-E23</f>
        <v>70.3</v>
      </c>
      <c r="F24" s="14">
        <f>443.6-F23</f>
        <v>131.6</v>
      </c>
      <c r="G24" s="12">
        <f>C24/C23-1</f>
        <v>-0.000765417699373086</v>
      </c>
      <c r="H24" s="12">
        <f>(E24+F24-C24)/C24</f>
        <v>-0.926354185664782</v>
      </c>
      <c r="I24" s="12">
        <f>AVERAGE(H21:H24)</f>
        <v>-0.897538292793011</v>
      </c>
      <c r="J24" s="12"/>
    </row>
    <row r="25" ht="20.05" customHeight="1">
      <c r="B25" s="26"/>
      <c r="C25" s="13">
        <f>8345-SUM(C23:C24)</f>
        <v>2859.9</v>
      </c>
      <c r="D25" s="14">
        <v>2796.33</v>
      </c>
      <c r="E25" s="14">
        <f>211.8-SUM(E23:E24)</f>
        <v>71.59999999999999</v>
      </c>
      <c r="F25" s="14">
        <f>588.5-SUM(F23:F24)</f>
        <v>144.9</v>
      </c>
      <c r="G25" s="12">
        <f>C25/C24-1</f>
        <v>0.0431880357468539</v>
      </c>
      <c r="H25" s="12">
        <f>(E25+F25-C25)/C25</f>
        <v>-0.9242980523794539</v>
      </c>
      <c r="I25" s="12">
        <f>AVERAGE(H22:H25)</f>
        <v>-0.896973665285712</v>
      </c>
      <c r="J25" s="12"/>
    </row>
    <row r="26" ht="20.05" customHeight="1">
      <c r="B26" s="26"/>
      <c r="C26" s="13">
        <f>11234.4-SUM(C23:C25)</f>
        <v>2889.4</v>
      </c>
      <c r="D26" s="14">
        <v>3002.895</v>
      </c>
      <c r="E26" s="14">
        <f>283.6-SUM(E23:E25)</f>
        <v>71.8</v>
      </c>
      <c r="F26" s="14">
        <f>877.8-SUM(F23:F25)</f>
        <v>289.3</v>
      </c>
      <c r="G26" s="12">
        <f>C26/C25-1</f>
        <v>0.0103150459806287</v>
      </c>
      <c r="H26" s="12">
        <f>(E26+F26-C26)/C26</f>
        <v>-0.875025956946079</v>
      </c>
      <c r="I26" s="12">
        <f>AVERAGE(H23:H26)</f>
        <v>-0.89662037977251</v>
      </c>
      <c r="J26" s="12"/>
    </row>
    <row r="27" ht="20.05" customHeight="1">
      <c r="B27" s="27">
        <v>2022</v>
      </c>
      <c r="C27" s="13">
        <v>2972.4</v>
      </c>
      <c r="D27" s="14">
        <v>2860.506</v>
      </c>
      <c r="E27" s="14">
        <v>73.90000000000001</v>
      </c>
      <c r="F27" s="14">
        <v>291.1</v>
      </c>
      <c r="G27" s="12">
        <f>C27/C26-1</f>
        <v>0.0287256869938396</v>
      </c>
      <c r="H27" s="12">
        <f>(E27+F27-C27)/C27</f>
        <v>-0.877203606513255</v>
      </c>
      <c r="I27" s="12">
        <f>AVERAGE(H24:H27)</f>
        <v>-0.900720450375893</v>
      </c>
      <c r="J27" s="12">
        <f>I27</f>
        <v>-0.900720450375893</v>
      </c>
    </row>
    <row r="28" ht="20.05" customHeight="1">
      <c r="B28" s="26"/>
      <c r="C28" s="13"/>
      <c r="D28" s="14">
        <f>'Model'!C6</f>
        <v>3031.848</v>
      </c>
      <c r="E28" s="14"/>
      <c r="F28" s="14"/>
      <c r="G28" s="12"/>
      <c r="H28" s="19"/>
      <c r="I28" s="12"/>
      <c r="J28" s="12">
        <f>'Model'!C7</f>
        <v>-0.900720450375893</v>
      </c>
    </row>
    <row r="29" ht="20.05" customHeight="1">
      <c r="B29" s="26"/>
      <c r="C29" s="13"/>
      <c r="D29" s="14">
        <f>'Model'!D6</f>
        <v>3122.80344</v>
      </c>
      <c r="E29" s="14"/>
      <c r="F29" s="14"/>
      <c r="G29" s="12"/>
      <c r="H29" s="12"/>
      <c r="I29" s="12"/>
      <c r="J29" s="12"/>
    </row>
    <row r="30" ht="20.05" customHeight="1">
      <c r="B30" s="26"/>
      <c r="C30" s="13"/>
      <c r="D30" s="14">
        <f>'Model'!E6</f>
        <v>3216.4875432</v>
      </c>
      <c r="E30" s="14">
        <f>SUM(C22:C27)</f>
        <v>17083.6</v>
      </c>
      <c r="F30" s="14">
        <f>SUM(D22:D27)</f>
        <v>17153.907</v>
      </c>
      <c r="G30" s="12"/>
      <c r="H30" s="12"/>
      <c r="I30" s="12"/>
      <c r="J30" s="12"/>
    </row>
    <row r="31" ht="20.05" customHeight="1">
      <c r="B31" s="27">
        <v>2023</v>
      </c>
      <c r="C31" s="13"/>
      <c r="D31" s="14">
        <f>'Model'!F6</f>
        <v>3184.322667768</v>
      </c>
      <c r="E31" s="14"/>
      <c r="F31" s="14"/>
      <c r="G31" s="12"/>
      <c r="H31" s="12"/>
      <c r="I31" s="12"/>
      <c r="J31" s="12"/>
    </row>
  </sheetData>
  <mergeCells count="1">
    <mergeCell ref="B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P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28" customWidth="1"/>
    <col min="2" max="2" width="9.5625" style="28" customWidth="1"/>
    <col min="3" max="16" width="10.3672" style="28" customWidth="1"/>
    <col min="17" max="16384" width="16.3516" style="28" customWidth="1"/>
  </cols>
  <sheetData>
    <row r="1" ht="13.85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46.75" customHeight="1">
      <c r="B3" t="s" s="5">
        <v>1</v>
      </c>
      <c r="C3" t="s" s="5">
        <v>46</v>
      </c>
      <c r="D3" t="s" s="5">
        <v>10</v>
      </c>
      <c r="E3" t="s" s="5">
        <v>8</v>
      </c>
      <c r="F3" t="s" s="5">
        <v>9</v>
      </c>
      <c r="G3" s="29"/>
      <c r="H3" t="s" s="5">
        <v>47</v>
      </c>
      <c r="I3" t="s" s="5">
        <v>48</v>
      </c>
      <c r="J3" t="s" s="5">
        <v>11</v>
      </c>
      <c r="K3" t="s" s="5">
        <v>49</v>
      </c>
      <c r="L3" t="s" s="5">
        <v>33</v>
      </c>
      <c r="M3" t="s" s="5">
        <v>35</v>
      </c>
      <c r="N3" t="s" s="5">
        <v>50</v>
      </c>
      <c r="O3" t="s" s="5">
        <v>35</v>
      </c>
      <c r="P3" s="29"/>
    </row>
    <row r="4" ht="21.4" customHeight="1">
      <c r="B4" s="23">
        <v>2016</v>
      </c>
      <c r="C4" s="30">
        <v>2147.5</v>
      </c>
      <c r="D4" s="31">
        <v>-0.1</v>
      </c>
      <c r="E4" s="31">
        <v>-17.1</v>
      </c>
      <c r="F4" s="31">
        <v>-44.8</v>
      </c>
      <c r="G4" s="31"/>
      <c r="H4" s="31"/>
      <c r="I4" s="31"/>
      <c r="J4" s="31">
        <v>-36.1</v>
      </c>
      <c r="K4" s="32">
        <f>E4+F4+D4</f>
        <v>-62</v>
      </c>
      <c r="L4" s="32"/>
      <c r="M4" s="31"/>
      <c r="N4" s="31">
        <f>-(J4-D4)</f>
        <v>36</v>
      </c>
      <c r="O4" s="31"/>
      <c r="P4" s="31">
        <v>1</v>
      </c>
    </row>
    <row r="5" ht="21.2" customHeight="1">
      <c r="B5" s="26"/>
      <c r="C5" s="15">
        <v>2296</v>
      </c>
      <c r="D5" s="16">
        <v>-0.1</v>
      </c>
      <c r="E5" s="16">
        <v>56.2</v>
      </c>
      <c r="F5" s="16">
        <v>-68.40000000000001</v>
      </c>
      <c r="G5" s="16"/>
      <c r="H5" s="16"/>
      <c r="I5" s="16"/>
      <c r="J5" s="16">
        <v>6</v>
      </c>
      <c r="K5" s="33">
        <f>E5+F5+D5</f>
        <v>-12.3</v>
      </c>
      <c r="L5" s="33"/>
      <c r="M5" s="16"/>
      <c r="N5" s="16">
        <f>-(J5-D5)+N4</f>
        <v>29.9</v>
      </c>
      <c r="O5" s="16"/>
      <c r="P5" s="16">
        <f>1+P4</f>
        <v>2</v>
      </c>
    </row>
    <row r="6" ht="21.2" customHeight="1">
      <c r="B6" s="26"/>
      <c r="C6" s="15">
        <v>2282.6</v>
      </c>
      <c r="D6" s="16">
        <v>-0.1</v>
      </c>
      <c r="E6" s="16">
        <v>90.90000000000001</v>
      </c>
      <c r="F6" s="16">
        <v>-51</v>
      </c>
      <c r="G6" s="16"/>
      <c r="H6" s="16"/>
      <c r="I6" s="16"/>
      <c r="J6" s="16">
        <v>-169.3</v>
      </c>
      <c r="K6" s="33">
        <f>E6+F6+D6</f>
        <v>39.8</v>
      </c>
      <c r="L6" s="33"/>
      <c r="M6" s="16"/>
      <c r="N6" s="16">
        <f>-(J6-D6)+N5</f>
        <v>199.1</v>
      </c>
      <c r="O6" s="16"/>
      <c r="P6" s="16">
        <f>1+P5</f>
        <v>3</v>
      </c>
    </row>
    <row r="7" ht="21.2" customHeight="1">
      <c r="B7" s="26"/>
      <c r="C7" s="15">
        <v>2277.2</v>
      </c>
      <c r="D7" s="16">
        <v>-4.7</v>
      </c>
      <c r="E7" s="16">
        <v>361.7</v>
      </c>
      <c r="F7" s="16">
        <v>-222.8</v>
      </c>
      <c r="G7" s="16"/>
      <c r="H7" s="16"/>
      <c r="I7" s="16"/>
      <c r="J7" s="16">
        <v>66.90000000000001</v>
      </c>
      <c r="K7" s="33">
        <f>E7+F7+D7</f>
        <v>134.2</v>
      </c>
      <c r="L7" s="33"/>
      <c r="M7" s="16"/>
      <c r="N7" s="16">
        <f>-(J7-D7)+N6</f>
        <v>127.5</v>
      </c>
      <c r="O7" s="16"/>
      <c r="P7" s="16">
        <f>1+P6</f>
        <v>4</v>
      </c>
    </row>
    <row r="8" ht="21.2" customHeight="1">
      <c r="B8" s="27">
        <v>2017</v>
      </c>
      <c r="C8" s="15">
        <v>2171.8</v>
      </c>
      <c r="D8" s="16">
        <v>-0.2</v>
      </c>
      <c r="E8" s="16">
        <v>26.9</v>
      </c>
      <c r="F8" s="16">
        <v>-69.8</v>
      </c>
      <c r="G8" s="33">
        <f>AVERAGE(F5:F8)</f>
        <v>-103</v>
      </c>
      <c r="H8" s="16"/>
      <c r="I8" s="16"/>
      <c r="J8" s="16">
        <v>112.2</v>
      </c>
      <c r="K8" s="33">
        <f>E8+F8+D8</f>
        <v>-43.1</v>
      </c>
      <c r="L8" s="33">
        <f>AVERAGE(K5:K8)</f>
        <v>29.65</v>
      </c>
      <c r="M8" s="16"/>
      <c r="N8" s="16">
        <f>-(J8-D8)+N7</f>
        <v>15.1</v>
      </c>
      <c r="O8" s="16"/>
      <c r="P8" s="16">
        <f>1+P7</f>
        <v>5</v>
      </c>
    </row>
    <row r="9" ht="21.2" customHeight="1">
      <c r="B9" s="26"/>
      <c r="C9" s="15">
        <v>2179.1</v>
      </c>
      <c r="D9" s="16">
        <v>-0.3</v>
      </c>
      <c r="E9" s="16">
        <v>201.8</v>
      </c>
      <c r="F9" s="16">
        <v>-107.9</v>
      </c>
      <c r="G9" s="33">
        <f>AVERAGE(F6:F9)</f>
        <v>-112.875</v>
      </c>
      <c r="H9" s="16"/>
      <c r="I9" s="16"/>
      <c r="J9" s="16">
        <v>17.9</v>
      </c>
      <c r="K9" s="33">
        <f>E9+F9+D9</f>
        <v>93.59999999999999</v>
      </c>
      <c r="L9" s="33">
        <f>AVERAGE(K6:K9)</f>
        <v>56.125</v>
      </c>
      <c r="M9" s="16"/>
      <c r="N9" s="16">
        <f>-(J9-D9)+N8</f>
        <v>-3.1</v>
      </c>
      <c r="O9" s="16"/>
      <c r="P9" s="16">
        <f>1+P8</f>
        <v>6</v>
      </c>
    </row>
    <row r="10" ht="21.2" customHeight="1">
      <c r="B10" s="26"/>
      <c r="C10" s="15">
        <v>2436.1</v>
      </c>
      <c r="D10" s="16">
        <v>-0.1</v>
      </c>
      <c r="E10" s="16">
        <v>-11.4</v>
      </c>
      <c r="F10" s="16">
        <v>-25.6</v>
      </c>
      <c r="G10" s="33">
        <f>AVERAGE(F7:F10)</f>
        <v>-106.525</v>
      </c>
      <c r="H10" s="16"/>
      <c r="I10" s="16"/>
      <c r="J10" s="16">
        <v>-166.9</v>
      </c>
      <c r="K10" s="33">
        <f>E10+F10+D10</f>
        <v>-37.1</v>
      </c>
      <c r="L10" s="33">
        <f>AVERAGE(K7:K10)</f>
        <v>36.9</v>
      </c>
      <c r="M10" s="16"/>
      <c r="N10" s="16">
        <f>-(J10-D10)+N9</f>
        <v>163.7</v>
      </c>
      <c r="O10" s="16"/>
      <c r="P10" s="16">
        <f>1+P9</f>
        <v>7</v>
      </c>
    </row>
    <row r="11" ht="21.2" customHeight="1">
      <c r="B11" s="26"/>
      <c r="C11" s="15">
        <v>2496.5</v>
      </c>
      <c r="D11" s="16">
        <v>-7.5</v>
      </c>
      <c r="E11" s="16">
        <v>326.9</v>
      </c>
      <c r="F11" s="16">
        <v>-73.3</v>
      </c>
      <c r="G11" s="33">
        <f>AVERAGE(F8:F11)</f>
        <v>-69.15000000000001</v>
      </c>
      <c r="H11" s="16"/>
      <c r="I11" s="16"/>
      <c r="J11" s="16">
        <v>25.2</v>
      </c>
      <c r="K11" s="33">
        <f>E11+F11+D11</f>
        <v>246.1</v>
      </c>
      <c r="L11" s="33">
        <f>AVERAGE(K8:K11)</f>
        <v>64.875</v>
      </c>
      <c r="M11" s="16"/>
      <c r="N11" s="16">
        <f>-(J11-D11)+N10</f>
        <v>131</v>
      </c>
      <c r="O11" s="16"/>
      <c r="P11" s="16">
        <f>1+P10</f>
        <v>8</v>
      </c>
    </row>
    <row r="12" ht="21.2" customHeight="1">
      <c r="B12" s="27">
        <v>2018</v>
      </c>
      <c r="C12" s="15">
        <v>2282.8</v>
      </c>
      <c r="D12" s="16">
        <v>-0.7</v>
      </c>
      <c r="E12" s="16">
        <v>-2.1</v>
      </c>
      <c r="F12" s="16">
        <v>-112.7</v>
      </c>
      <c r="G12" s="33">
        <f>AVERAGE(F9:F12)</f>
        <v>-79.875</v>
      </c>
      <c r="H12" s="16"/>
      <c r="I12" s="16"/>
      <c r="J12" s="16">
        <v>-29.7</v>
      </c>
      <c r="K12" s="33">
        <f>E12+F12+D12</f>
        <v>-115.5</v>
      </c>
      <c r="L12" s="33">
        <f>AVERAGE(K9:K12)</f>
        <v>46.775</v>
      </c>
      <c r="M12" s="16"/>
      <c r="N12" s="16">
        <f>-(J12-D12)+N11</f>
        <v>160</v>
      </c>
      <c r="O12" s="16"/>
      <c r="P12" s="16">
        <f>1+P11</f>
        <v>9</v>
      </c>
    </row>
    <row r="13" ht="21.2" customHeight="1">
      <c r="B13" s="26"/>
      <c r="C13" s="15">
        <v>2495</v>
      </c>
      <c r="D13" s="16">
        <v>-4.9</v>
      </c>
      <c r="E13" s="16">
        <v>192.9</v>
      </c>
      <c r="F13" s="16">
        <v>-85.5</v>
      </c>
      <c r="G13" s="33">
        <f>AVERAGE(F10:F13)</f>
        <v>-74.27500000000001</v>
      </c>
      <c r="H13" s="16"/>
      <c r="I13" s="16"/>
      <c r="J13" s="16">
        <v>109.5</v>
      </c>
      <c r="K13" s="33">
        <f>E13+F13+D13</f>
        <v>102.5</v>
      </c>
      <c r="L13" s="33">
        <f>AVERAGE(K10:K13)</f>
        <v>49</v>
      </c>
      <c r="M13" s="16"/>
      <c r="N13" s="16">
        <f>-(J13-D13)+N12</f>
        <v>45.6</v>
      </c>
      <c r="O13" s="16"/>
      <c r="P13" s="16">
        <f>1+P12</f>
        <v>10</v>
      </c>
    </row>
    <row r="14" ht="21.2" customHeight="1">
      <c r="B14" s="26"/>
      <c r="C14" s="15">
        <v>2509.8</v>
      </c>
      <c r="D14" s="16">
        <v>-2.1</v>
      </c>
      <c r="E14" s="16">
        <v>-141.5</v>
      </c>
      <c r="F14" s="16">
        <v>-124.1</v>
      </c>
      <c r="G14" s="33">
        <f>AVERAGE(F11:F14)</f>
        <v>-98.90000000000001</v>
      </c>
      <c r="H14" s="16"/>
      <c r="I14" s="16"/>
      <c r="J14" s="16">
        <v>-128.6</v>
      </c>
      <c r="K14" s="33">
        <f>E14+F14+D14</f>
        <v>-267.7</v>
      </c>
      <c r="L14" s="33">
        <f>AVERAGE(K11:K14)</f>
        <v>-8.65</v>
      </c>
      <c r="M14" s="16"/>
      <c r="N14" s="16">
        <f>-(J14-D14)+N13</f>
        <v>172.1</v>
      </c>
      <c r="O14" s="16"/>
      <c r="P14" s="16">
        <f>1+P13</f>
        <v>11</v>
      </c>
    </row>
    <row r="15" ht="21.2" customHeight="1">
      <c r="B15" s="26"/>
      <c r="C15" s="15">
        <v>2713.8</v>
      </c>
      <c r="D15" s="16">
        <v>-10.3</v>
      </c>
      <c r="E15" s="16">
        <v>339.8</v>
      </c>
      <c r="F15" s="16">
        <v>-113</v>
      </c>
      <c r="G15" s="33">
        <f>AVERAGE(F12:F15)</f>
        <v>-108.825</v>
      </c>
      <c r="H15" s="16"/>
      <c r="I15" s="16"/>
      <c r="J15" s="16">
        <v>-11</v>
      </c>
      <c r="K15" s="33">
        <f>E15+F15+D15</f>
        <v>216.5</v>
      </c>
      <c r="L15" s="33">
        <f>AVERAGE(K12:K15)</f>
        <v>-16.05</v>
      </c>
      <c r="M15" s="16"/>
      <c r="N15" s="16">
        <f>-(J15-D15)+N14</f>
        <v>172.8</v>
      </c>
      <c r="O15" s="16"/>
      <c r="P15" s="16">
        <f>1+P14</f>
        <v>12</v>
      </c>
    </row>
    <row r="16" ht="21.2" customHeight="1">
      <c r="B16" s="27">
        <v>2019</v>
      </c>
      <c r="C16" s="15">
        <v>2625.2</v>
      </c>
      <c r="D16" s="16">
        <v>-2.2</v>
      </c>
      <c r="E16" s="16">
        <v>50.5</v>
      </c>
      <c r="F16" s="16">
        <v>-61.7</v>
      </c>
      <c r="G16" s="33">
        <f>AVERAGE(F13:F16)</f>
        <v>-96.075</v>
      </c>
      <c r="H16" s="16"/>
      <c r="I16" s="16"/>
      <c r="J16" s="16">
        <v>57.3</v>
      </c>
      <c r="K16" s="33">
        <f>E16+F16+D16</f>
        <v>-13.4</v>
      </c>
      <c r="L16" s="33">
        <f>AVERAGE(K13:K16)</f>
        <v>9.475</v>
      </c>
      <c r="M16" s="16"/>
      <c r="N16" s="16">
        <f>-(J16-D16)+N15</f>
        <v>113.3</v>
      </c>
      <c r="O16" s="16"/>
      <c r="P16" s="16">
        <f>1+P15</f>
        <v>13</v>
      </c>
    </row>
    <row r="17" ht="21.2" customHeight="1">
      <c r="B17" s="26"/>
      <c r="C17" s="15">
        <v>2755.9</v>
      </c>
      <c r="D17" s="16">
        <v>-3</v>
      </c>
      <c r="E17" s="16">
        <v>159.4</v>
      </c>
      <c r="F17" s="16">
        <v>-93.2</v>
      </c>
      <c r="G17" s="33">
        <f>AVERAGE(F14:F17)</f>
        <v>-98</v>
      </c>
      <c r="H17" s="16"/>
      <c r="I17" s="16"/>
      <c r="J17" s="16">
        <v>-76.5</v>
      </c>
      <c r="K17" s="33">
        <f>E17+F17+D17</f>
        <v>63.2</v>
      </c>
      <c r="L17" s="33">
        <f>AVERAGE(K14:K17)</f>
        <v>-0.35</v>
      </c>
      <c r="M17" s="16"/>
      <c r="N17" s="16">
        <f>-(J17-D17)+N16</f>
        <v>186.8</v>
      </c>
      <c r="O17" s="16"/>
      <c r="P17" s="16">
        <f>1+P16</f>
        <v>14</v>
      </c>
    </row>
    <row r="18" ht="21.2" customHeight="1">
      <c r="B18" s="26"/>
      <c r="C18" s="15">
        <v>2750.3</v>
      </c>
      <c r="D18" s="16">
        <v>-3.1</v>
      </c>
      <c r="E18" s="16">
        <v>69.8</v>
      </c>
      <c r="F18" s="16">
        <v>-79.5</v>
      </c>
      <c r="G18" s="33">
        <f>AVERAGE(F15:F18)</f>
        <v>-86.84999999999999</v>
      </c>
      <c r="H18" s="16"/>
      <c r="I18" s="16"/>
      <c r="J18" s="16">
        <v>-28</v>
      </c>
      <c r="K18" s="33">
        <f>E18+F18+D18</f>
        <v>-12.8</v>
      </c>
      <c r="L18" s="33">
        <f>AVERAGE(K15:K18)</f>
        <v>63.375</v>
      </c>
      <c r="M18" s="16"/>
      <c r="N18" s="16">
        <f>-(J18-D18)+N17</f>
        <v>211.7</v>
      </c>
      <c r="O18" s="16"/>
      <c r="P18" s="16">
        <f>1+P17</f>
        <v>15</v>
      </c>
    </row>
    <row r="19" ht="21.2" customHeight="1">
      <c r="B19" s="26"/>
      <c r="C19" s="15">
        <v>2874.8</v>
      </c>
      <c r="D19" s="16">
        <v>-26.2</v>
      </c>
      <c r="E19" s="16">
        <v>610.1</v>
      </c>
      <c r="F19" s="16">
        <v>-131</v>
      </c>
      <c r="G19" s="33">
        <f>AVERAGE(F16:F19)</f>
        <v>-91.34999999999999</v>
      </c>
      <c r="H19" s="16"/>
      <c r="I19" s="16"/>
      <c r="J19" s="16">
        <v>-103</v>
      </c>
      <c r="K19" s="33">
        <f>E19+F19+D19</f>
        <v>452.9</v>
      </c>
      <c r="L19" s="33">
        <f>AVERAGE(K16:K19)</f>
        <v>122.475</v>
      </c>
      <c r="M19" s="16"/>
      <c r="N19" s="16">
        <f>-(J19-D19)+N18</f>
        <v>288.5</v>
      </c>
      <c r="O19" s="16"/>
      <c r="P19" s="16">
        <f>1+P18</f>
        <v>16</v>
      </c>
    </row>
    <row r="20" ht="21.2" customHeight="1">
      <c r="B20" s="27">
        <v>2020</v>
      </c>
      <c r="C20" s="15">
        <v>2740.3</v>
      </c>
      <c r="D20" s="16">
        <v>-14.5</v>
      </c>
      <c r="E20" s="16">
        <v>140</v>
      </c>
      <c r="F20" s="16">
        <v>-105.5</v>
      </c>
      <c r="G20" s="33">
        <f>AVERAGE(F17:F20)</f>
        <v>-102.3</v>
      </c>
      <c r="H20" s="33">
        <f>J20-I20-D20</f>
        <v>-17.2</v>
      </c>
      <c r="I20" s="16">
        <v>0</v>
      </c>
      <c r="J20" s="16">
        <v>-31.7</v>
      </c>
      <c r="K20" s="33">
        <f>E20+F20+D20</f>
        <v>20</v>
      </c>
      <c r="L20" s="33">
        <f>AVERAGE(K17:K20)</f>
        <v>130.825</v>
      </c>
      <c r="M20" s="16"/>
      <c r="N20" s="16">
        <f>-(J20-D20)+N19</f>
        <v>305.7</v>
      </c>
      <c r="O20" s="16"/>
      <c r="P20" s="16">
        <f>1+P19</f>
        <v>17</v>
      </c>
    </row>
    <row r="21" ht="21.2" customHeight="1">
      <c r="B21" s="26"/>
      <c r="C21" s="15">
        <v>2942.2</v>
      </c>
      <c r="D21" s="16">
        <v>-5.6</v>
      </c>
      <c r="E21" s="16">
        <v>221.8</v>
      </c>
      <c r="F21" s="16">
        <v>-100.3</v>
      </c>
      <c r="G21" s="33">
        <f>AVERAGE(F18:F21)</f>
        <v>-104.075</v>
      </c>
      <c r="H21" s="33">
        <f>J21-I21-D21</f>
        <v>51.6</v>
      </c>
      <c r="I21" s="16">
        <f>-15-I20</f>
        <v>-15</v>
      </c>
      <c r="J21" s="16">
        <v>31</v>
      </c>
      <c r="K21" s="33">
        <f>E21+F21+D21</f>
        <v>115.9</v>
      </c>
      <c r="L21" s="33">
        <f>AVERAGE(K18:K21)</f>
        <v>144</v>
      </c>
      <c r="M21" s="16"/>
      <c r="N21" s="16">
        <f>-(J21-D21)+N20</f>
        <v>269.1</v>
      </c>
      <c r="O21" s="16"/>
      <c r="P21" s="16">
        <f>1+P20</f>
        <v>18</v>
      </c>
    </row>
    <row r="22" ht="21.2" customHeight="1">
      <c r="B22" s="26"/>
      <c r="C22" s="15">
        <v>2801.3</v>
      </c>
      <c r="D22" s="16">
        <v>-16.7</v>
      </c>
      <c r="E22" s="16">
        <v>207.9</v>
      </c>
      <c r="F22" s="16">
        <v>-86.09999999999999</v>
      </c>
      <c r="G22" s="33">
        <f>AVERAGE(F19:F22)</f>
        <v>-105.725</v>
      </c>
      <c r="H22" s="33">
        <f>J22-I22-D22</f>
        <v>8.6</v>
      </c>
      <c r="I22" s="16">
        <f>-137.1-102.9-SUM(I20:I21)</f>
        <v>-225</v>
      </c>
      <c r="J22" s="16">
        <v>-233.1</v>
      </c>
      <c r="K22" s="33">
        <f>E22+F22+D22</f>
        <v>105.1</v>
      </c>
      <c r="L22" s="33">
        <f>AVERAGE(K19:K22)</f>
        <v>173.475</v>
      </c>
      <c r="M22" s="16"/>
      <c r="N22" s="16">
        <f>-(J22-D22)+N21</f>
        <v>485.5</v>
      </c>
      <c r="O22" s="16"/>
      <c r="P22" s="16">
        <f>1+P21</f>
        <v>19</v>
      </c>
    </row>
    <row r="23" ht="21.2" customHeight="1">
      <c r="B23" s="26"/>
      <c r="C23" s="15">
        <f>11905.4-SUM(C20:C22)</f>
        <v>3421.6</v>
      </c>
      <c r="D23" s="16">
        <f>-65.9-SUM(D20:D22)</f>
        <v>-29.1</v>
      </c>
      <c r="E23" s="16">
        <f>982.69-SUM(E20:E22)</f>
        <v>412.99</v>
      </c>
      <c r="F23" s="16">
        <f>-388.56-SUM(F20:F22)</f>
        <v>-96.66</v>
      </c>
      <c r="G23" s="33">
        <f>AVERAGE(F20:F23)</f>
        <v>-97.14</v>
      </c>
      <c r="H23" s="33">
        <f>J23-I23-D23</f>
        <v>65.90000000000001</v>
      </c>
      <c r="I23" s="33">
        <f>-183.5-71.5-SUM(I20:I22)</f>
        <v>-15</v>
      </c>
      <c r="J23" s="33">
        <f>-212-SUM(J20:J22)</f>
        <v>21.8</v>
      </c>
      <c r="K23" s="33">
        <f>E23+F23+D23</f>
        <v>287.23</v>
      </c>
      <c r="L23" s="33">
        <f>AVERAGE(K20:K23)</f>
        <v>132.0575</v>
      </c>
      <c r="M23" s="16"/>
      <c r="N23" s="16">
        <f>-(J23-D23)+N22</f>
        <v>434.6</v>
      </c>
      <c r="O23" s="16"/>
      <c r="P23" s="16">
        <f>1+P22</f>
        <v>20</v>
      </c>
    </row>
    <row r="24" ht="21.2" customHeight="1">
      <c r="B24" s="27">
        <v>2021</v>
      </c>
      <c r="C24" s="15">
        <v>3001.9</v>
      </c>
      <c r="D24" s="16">
        <v>-17</v>
      </c>
      <c r="E24" s="16">
        <v>178</v>
      </c>
      <c r="F24" s="16">
        <v>-149.2</v>
      </c>
      <c r="G24" s="33">
        <f>AVERAGE(F21:F24)</f>
        <v>-108.065</v>
      </c>
      <c r="H24" s="33">
        <f>J24-I24-D24</f>
        <v>-8.699999999999999</v>
      </c>
      <c r="I24" s="33">
        <v>0</v>
      </c>
      <c r="J24" s="33">
        <v>-25.7</v>
      </c>
      <c r="K24" s="33">
        <f>E24+F24+D24</f>
        <v>11.8</v>
      </c>
      <c r="L24" s="33">
        <f>AVERAGE(K21:K24)</f>
        <v>130.0075</v>
      </c>
      <c r="M24" s="16"/>
      <c r="N24" s="16">
        <f>-(J24-D24)+N23</f>
        <v>443.3</v>
      </c>
      <c r="O24" s="16"/>
      <c r="P24" s="16">
        <f>1+P23</f>
        <v>21</v>
      </c>
    </row>
    <row r="25" ht="21.2" customHeight="1">
      <c r="B25" s="26"/>
      <c r="C25" s="15">
        <f>5485.1-C24</f>
        <v>2483.2</v>
      </c>
      <c r="D25" s="16">
        <f>-24.2-D24</f>
        <v>-7.2</v>
      </c>
      <c r="E25" s="16">
        <f>142-E24</f>
        <v>-36</v>
      </c>
      <c r="F25" s="16">
        <f>-245.9-F24</f>
        <v>-96.7</v>
      </c>
      <c r="G25" s="33">
        <f>AVERAGE(F22:F25)</f>
        <v>-107.165</v>
      </c>
      <c r="H25" s="33">
        <f>J25-I25-D25</f>
        <v>193.4</v>
      </c>
      <c r="I25" s="33">
        <f>11.4-15-I24</f>
        <v>-3.6</v>
      </c>
      <c r="J25" s="33">
        <f>156.9-J24</f>
        <v>182.6</v>
      </c>
      <c r="K25" s="33">
        <f>E25+F25+D25</f>
        <v>-139.9</v>
      </c>
      <c r="L25" s="33">
        <f>AVERAGE(K22:K25)</f>
        <v>66.0575</v>
      </c>
      <c r="M25" s="16"/>
      <c r="N25" s="16">
        <f>-(J25-D25)+N24</f>
        <v>253.5</v>
      </c>
      <c r="O25" s="16"/>
      <c r="P25" s="16">
        <f>1+P24</f>
        <v>22</v>
      </c>
    </row>
    <row r="26" ht="21.2" customHeight="1">
      <c r="B26" s="26"/>
      <c r="C26" s="15">
        <f>9207.8-SUM(C24:C25)</f>
        <v>3722.7</v>
      </c>
      <c r="D26" s="16">
        <f>-42.4-SUM(D24:D25)</f>
        <v>-18.2</v>
      </c>
      <c r="E26" s="16">
        <f>499.3-SUM(E24:E25)</f>
        <v>357.3</v>
      </c>
      <c r="F26" s="16">
        <f>-300.8-SUM(F24:F25)</f>
        <v>-54.9</v>
      </c>
      <c r="G26" s="33">
        <f>AVERAGE(F23:F26)</f>
        <v>-99.36499999999999</v>
      </c>
      <c r="H26" s="33">
        <f>J26-I26-D26</f>
        <v>-35</v>
      </c>
      <c r="I26" s="33">
        <f>11.5-164.6-120.4-SUM(I24:I25)</f>
        <v>-269.9</v>
      </c>
      <c r="J26" s="33">
        <f>-166.2-SUM(J24:J25)</f>
        <v>-323.1</v>
      </c>
      <c r="K26" s="33">
        <f>E26+F26+D26</f>
        <v>284.2</v>
      </c>
      <c r="L26" s="33">
        <f>AVERAGE(K23:K26)</f>
        <v>110.8325</v>
      </c>
      <c r="M26" s="16"/>
      <c r="N26" s="16">
        <f>-(J26-D26)+N25</f>
        <v>558.4</v>
      </c>
      <c r="O26" s="16"/>
      <c r="P26" s="16">
        <f>1+P25</f>
        <v>23</v>
      </c>
    </row>
    <row r="27" ht="21.2" customHeight="1">
      <c r="B27" s="26"/>
      <c r="C27" s="15">
        <f>12348.6-SUM(C24:C26)</f>
        <v>3140.8</v>
      </c>
      <c r="D27" s="16">
        <f>-75.5-SUM(D24:D26)</f>
        <v>-33.1</v>
      </c>
      <c r="E27" s="16">
        <f>689.6-SUM(E24:E26)</f>
        <v>190.3</v>
      </c>
      <c r="F27" s="16">
        <f>-372.6-SUM(F24:F26)</f>
        <v>-71.8</v>
      </c>
      <c r="G27" s="33">
        <f>AVERAGE(F24:F27)</f>
        <v>-93.15000000000001</v>
      </c>
      <c r="H27" s="33">
        <f>J27-I27-D27</f>
        <v>-12.8</v>
      </c>
      <c r="I27" s="33">
        <f>-295.4-94.8+11.5-SUM(I24:I26)</f>
        <v>-105.2</v>
      </c>
      <c r="J27" s="33">
        <f>-317.3-SUM(J24:J26)</f>
        <v>-151.1</v>
      </c>
      <c r="K27" s="33">
        <f>E27+F27+D27</f>
        <v>85.40000000000001</v>
      </c>
      <c r="L27" s="33">
        <f>AVERAGE(K24:K27)</f>
        <v>60.375</v>
      </c>
      <c r="M27" s="16"/>
      <c r="N27" s="16">
        <f>-(J27-D27)+N26</f>
        <v>676.4</v>
      </c>
      <c r="O27" s="16"/>
      <c r="P27" s="16">
        <f>1+P26</f>
        <v>24</v>
      </c>
    </row>
    <row r="28" ht="21.2" customHeight="1">
      <c r="B28" s="27">
        <v>2022</v>
      </c>
      <c r="C28" s="15">
        <v>3122</v>
      </c>
      <c r="D28" s="16">
        <v>-15.4</v>
      </c>
      <c r="E28" s="16">
        <v>184.5</v>
      </c>
      <c r="F28" s="16">
        <v>-174</v>
      </c>
      <c r="G28" s="33">
        <f>AVERAGE(F25:F28)</f>
        <v>-99.34999999999999</v>
      </c>
      <c r="H28" s="33">
        <f>J28-I28-D28</f>
        <v>105</v>
      </c>
      <c r="I28" s="33">
        <v>0</v>
      </c>
      <c r="J28" s="33">
        <v>89.59999999999999</v>
      </c>
      <c r="K28" s="33">
        <f>E28+F28+D28</f>
        <v>-4.9</v>
      </c>
      <c r="L28" s="33">
        <f>AVERAGE(K25:K28)</f>
        <v>56.2</v>
      </c>
      <c r="M28" s="16">
        <v>136.662186266190</v>
      </c>
      <c r="N28" s="16">
        <f>-(J28-D28)+N27</f>
        <v>571.4</v>
      </c>
      <c r="O28" s="16">
        <v>1379.374398846490</v>
      </c>
      <c r="P28" s="16">
        <f>1+P27</f>
        <v>25</v>
      </c>
    </row>
    <row r="29" ht="21.2" customHeight="1">
      <c r="B29" s="26"/>
      <c r="C29" s="15"/>
      <c r="D29" s="16"/>
      <c r="E29" s="16"/>
      <c r="F29" s="16"/>
      <c r="G29" s="33"/>
      <c r="H29" s="33"/>
      <c r="I29" s="33"/>
      <c r="J29" s="33"/>
      <c r="K29" s="33"/>
      <c r="L29" s="19"/>
      <c r="M29" s="33">
        <f>SUM('Model'!C9:F11)/4</f>
        <v>161.868972592853</v>
      </c>
      <c r="N29" s="19"/>
      <c r="O29" s="16">
        <f>'Model'!F34</f>
        <v>1280.475890371410</v>
      </c>
      <c r="P29" s="16"/>
    </row>
  </sheetData>
  <mergeCells count="1">
    <mergeCell ref="B2:P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4" customWidth="1"/>
    <col min="2" max="13" width="9.21875" style="34" customWidth="1"/>
    <col min="14" max="16384" width="16.3516" style="34" customWidth="1"/>
  </cols>
  <sheetData>
    <row r="1" ht="7.55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5">
        <v>1</v>
      </c>
      <c r="C3" t="s" s="5">
        <v>51</v>
      </c>
      <c r="D3" t="s" s="5">
        <v>52</v>
      </c>
      <c r="E3" t="s" s="5">
        <v>23</v>
      </c>
      <c r="F3" t="s" s="5">
        <v>24</v>
      </c>
      <c r="G3" t="s" s="5">
        <v>53</v>
      </c>
      <c r="H3" t="s" s="5">
        <v>54</v>
      </c>
      <c r="I3" t="s" s="5">
        <v>12</v>
      </c>
      <c r="J3" t="s" s="5">
        <v>15</v>
      </c>
      <c r="K3" t="s" s="5">
        <v>55</v>
      </c>
      <c r="L3" t="s" s="5">
        <v>27</v>
      </c>
      <c r="M3" t="s" s="5">
        <v>35</v>
      </c>
    </row>
    <row r="4" ht="20.25" customHeight="1">
      <c r="B4" s="23">
        <v>2016</v>
      </c>
      <c r="C4" s="30">
        <v>1614</v>
      </c>
      <c r="D4" s="31">
        <v>6569</v>
      </c>
      <c r="E4" s="31">
        <f>D4-C4</f>
        <v>4955</v>
      </c>
      <c r="F4" s="31">
        <v>940</v>
      </c>
      <c r="G4" s="31">
        <v>4</v>
      </c>
      <c r="H4" s="31">
        <v>0</v>
      </c>
      <c r="I4" s="31">
        <v>2027</v>
      </c>
      <c r="J4" s="31">
        <v>4542</v>
      </c>
      <c r="K4" s="31">
        <f>I4+J4-C4-E4</f>
        <v>0</v>
      </c>
      <c r="L4" s="31">
        <f>C4-I4</f>
        <v>-413</v>
      </c>
      <c r="M4" s="31"/>
    </row>
    <row r="5" ht="20.05" customHeight="1">
      <c r="B5" s="26"/>
      <c r="C5" s="15">
        <v>1600</v>
      </c>
      <c r="D5" s="16">
        <v>6690</v>
      </c>
      <c r="E5" s="16">
        <f>D5-C5</f>
        <v>5090</v>
      </c>
      <c r="F5" s="16">
        <v>957</v>
      </c>
      <c r="G5" s="16">
        <v>4</v>
      </c>
      <c r="H5" s="16">
        <v>0</v>
      </c>
      <c r="I5" s="16">
        <v>2236</v>
      </c>
      <c r="J5" s="16">
        <v>4454</v>
      </c>
      <c r="K5" s="16">
        <f>I5+J5-C5-E5</f>
        <v>0</v>
      </c>
      <c r="L5" s="16">
        <f>C5-I5</f>
        <v>-636</v>
      </c>
      <c r="M5" s="16"/>
    </row>
    <row r="6" ht="20.05" customHeight="1">
      <c r="B6" s="26"/>
      <c r="C6" s="15">
        <v>1467</v>
      </c>
      <c r="D6" s="16">
        <v>6538</v>
      </c>
      <c r="E6" s="16">
        <f>D6-C6</f>
        <v>5071</v>
      </c>
      <c r="F6" s="16">
        <v>991</v>
      </c>
      <c r="G6" s="16">
        <v>4</v>
      </c>
      <c r="H6" s="16">
        <v>0</v>
      </c>
      <c r="I6" s="16">
        <v>1973</v>
      </c>
      <c r="J6" s="16">
        <v>4565</v>
      </c>
      <c r="K6" s="16">
        <f>I6+J6-C6-E6</f>
        <v>0</v>
      </c>
      <c r="L6" s="16">
        <f>C6-I6</f>
        <v>-506</v>
      </c>
      <c r="M6" s="16"/>
    </row>
    <row r="7" ht="20.05" customHeight="1">
      <c r="B7" s="26"/>
      <c r="C7" s="15">
        <v>1686</v>
      </c>
      <c r="D7" s="16">
        <v>6586</v>
      </c>
      <c r="E7" s="16">
        <f>D7-C7</f>
        <v>4900</v>
      </c>
      <c r="F7" s="16">
        <v>955</v>
      </c>
      <c r="G7" s="16">
        <f>7+20</f>
        <v>27</v>
      </c>
      <c r="H7" s="16">
        <v>0</v>
      </c>
      <c r="I7" s="16">
        <v>1951</v>
      </c>
      <c r="J7" s="16">
        <v>4635</v>
      </c>
      <c r="K7" s="16">
        <f>I7+J7-C7-E7</f>
        <v>0</v>
      </c>
      <c r="L7" s="16">
        <f>C7-I7</f>
        <v>-265</v>
      </c>
      <c r="M7" s="16"/>
    </row>
    <row r="8" ht="20.05" customHeight="1">
      <c r="B8" s="27">
        <v>2017</v>
      </c>
      <c r="C8" s="15">
        <v>1777</v>
      </c>
      <c r="D8" s="16">
        <v>7099</v>
      </c>
      <c r="E8" s="16">
        <f>D8-C8</f>
        <v>5322</v>
      </c>
      <c r="F8" s="16">
        <v>977</v>
      </c>
      <c r="G8" s="16">
        <v>25</v>
      </c>
      <c r="H8" s="16">
        <v>0</v>
      </c>
      <c r="I8" s="16">
        <v>2179</v>
      </c>
      <c r="J8" s="16">
        <v>4920</v>
      </c>
      <c r="K8" s="16">
        <f>I8+J8-C8-E8</f>
        <v>0</v>
      </c>
      <c r="L8" s="16">
        <f>C8-I8</f>
        <v>-402</v>
      </c>
      <c r="M8" s="16"/>
    </row>
    <row r="9" ht="20.05" customHeight="1">
      <c r="B9" s="26"/>
      <c r="C9" s="15">
        <v>1890</v>
      </c>
      <c r="D9" s="16">
        <v>7388</v>
      </c>
      <c r="E9" s="16">
        <f>D9-C9</f>
        <v>5498</v>
      </c>
      <c r="F9" s="16">
        <v>1009</v>
      </c>
      <c r="G9" s="16">
        <f>6+17</f>
        <v>23</v>
      </c>
      <c r="H9" s="16">
        <v>0</v>
      </c>
      <c r="I9" s="16">
        <v>2561</v>
      </c>
      <c r="J9" s="16">
        <v>4827</v>
      </c>
      <c r="K9" s="16">
        <f>I9+J9-C9-E9</f>
        <v>0</v>
      </c>
      <c r="L9" s="16">
        <f>C9-I9</f>
        <v>-671</v>
      </c>
      <c r="M9" s="16"/>
    </row>
    <row r="10" ht="20.05" customHeight="1">
      <c r="B10" s="26"/>
      <c r="C10" s="15"/>
      <c r="D10" s="16"/>
      <c r="E10" s="16">
        <f>D10-C10</f>
        <v>0</v>
      </c>
      <c r="F10" s="16"/>
      <c r="G10" s="16"/>
      <c r="H10" s="16"/>
      <c r="I10" s="16"/>
      <c r="J10" s="16"/>
      <c r="K10" s="16">
        <f>I10+J10-C10-E10</f>
        <v>0</v>
      </c>
      <c r="L10" s="16">
        <f>C10-I10</f>
        <v>0</v>
      </c>
      <c r="M10" s="16"/>
    </row>
    <row r="11" ht="20.05" customHeight="1">
      <c r="B11" s="26"/>
      <c r="C11" s="15">
        <v>1973</v>
      </c>
      <c r="D11" s="16">
        <v>7435</v>
      </c>
      <c r="E11" s="16">
        <f>D11-C11</f>
        <v>5462</v>
      </c>
      <c r="F11" s="16">
        <v>1066</v>
      </c>
      <c r="G11" s="16">
        <f t="shared" si="24" ref="G11:G12">7+15</f>
        <v>22</v>
      </c>
      <c r="H11" s="16">
        <v>0</v>
      </c>
      <c r="I11" s="16">
        <v>2353</v>
      </c>
      <c r="J11" s="16">
        <v>5082</v>
      </c>
      <c r="K11" s="16">
        <f>I11+J11-C11-E11</f>
        <v>0</v>
      </c>
      <c r="L11" s="16">
        <f>C11-I11</f>
        <v>-380</v>
      </c>
      <c r="M11" s="16"/>
    </row>
    <row r="12" ht="20.05" customHeight="1">
      <c r="B12" s="27">
        <v>2018</v>
      </c>
      <c r="C12" s="15">
        <v>1839</v>
      </c>
      <c r="D12" s="16">
        <v>7529</v>
      </c>
      <c r="E12" s="16">
        <f>D12-C12</f>
        <v>5690</v>
      </c>
      <c r="F12" s="16">
        <v>1099</v>
      </c>
      <c r="G12" s="16">
        <f t="shared" si="24"/>
        <v>22</v>
      </c>
      <c r="H12" s="16">
        <v>0</v>
      </c>
      <c r="I12" s="16">
        <v>2230</v>
      </c>
      <c r="J12" s="16">
        <v>5299</v>
      </c>
      <c r="K12" s="16">
        <f>I12+J12-C12-E12</f>
        <v>0</v>
      </c>
      <c r="L12" s="16">
        <f>C12-I12</f>
        <v>-391</v>
      </c>
      <c r="M12" s="16"/>
    </row>
    <row r="13" ht="20.05" customHeight="1">
      <c r="B13" s="26"/>
      <c r="C13" s="15">
        <v>2081</v>
      </c>
      <c r="D13" s="16">
        <v>7786</v>
      </c>
      <c r="E13" s="16">
        <f>D13-C13</f>
        <v>5705</v>
      </c>
      <c r="F13" s="16">
        <v>1132</v>
      </c>
      <c r="G13" s="16">
        <f>8+30</f>
        <v>38</v>
      </c>
      <c r="H13" s="16">
        <v>0</v>
      </c>
      <c r="I13" s="16">
        <v>2532</v>
      </c>
      <c r="J13" s="16">
        <v>5254</v>
      </c>
      <c r="K13" s="16">
        <f>I13+J13-C13-E13</f>
        <v>0</v>
      </c>
      <c r="L13" s="16">
        <f>C13-I13</f>
        <v>-451</v>
      </c>
      <c r="M13" s="16"/>
    </row>
    <row r="14" ht="20.05" customHeight="1">
      <c r="B14" s="26"/>
      <c r="C14" s="15">
        <v>1710</v>
      </c>
      <c r="D14" s="16">
        <v>7640</v>
      </c>
      <c r="E14" s="16">
        <f>D14-C14</f>
        <v>5930</v>
      </c>
      <c r="F14" s="16">
        <v>1156</v>
      </c>
      <c r="G14" s="16">
        <f>35+8</f>
        <v>43</v>
      </c>
      <c r="H14" s="16">
        <v>0</v>
      </c>
      <c r="I14" s="16">
        <v>2297</v>
      </c>
      <c r="J14" s="16">
        <v>5343</v>
      </c>
      <c r="K14" s="16">
        <f>I14+J14-C14-E14</f>
        <v>0</v>
      </c>
      <c r="L14" s="16">
        <f>C14-I14</f>
        <v>-587</v>
      </c>
      <c r="M14" s="16"/>
    </row>
    <row r="15" ht="20.05" customHeight="1">
      <c r="B15" s="26"/>
      <c r="C15" s="15">
        <v>1903</v>
      </c>
      <c r="D15" s="16">
        <v>7870</v>
      </c>
      <c r="E15" s="16">
        <f>D15-C15</f>
        <v>5967</v>
      </c>
      <c r="F15" s="16">
        <v>1188</v>
      </c>
      <c r="G15" s="16">
        <f>15+37</f>
        <v>52</v>
      </c>
      <c r="H15" s="16">
        <v>0</v>
      </c>
      <c r="I15" s="16">
        <v>2437</v>
      </c>
      <c r="J15" s="16">
        <v>5433</v>
      </c>
      <c r="K15" s="16">
        <f>I15+J15-C15-E15</f>
        <v>0</v>
      </c>
      <c r="L15" s="16">
        <f>C15-I15</f>
        <v>-534</v>
      </c>
      <c r="M15" s="16"/>
    </row>
    <row r="16" ht="20.05" customHeight="1">
      <c r="B16" s="27">
        <v>2019</v>
      </c>
      <c r="C16" s="15">
        <v>1940</v>
      </c>
      <c r="D16" s="16">
        <v>8100</v>
      </c>
      <c r="E16" s="16">
        <f>D16-C16</f>
        <v>6160</v>
      </c>
      <c r="F16" s="16">
        <v>1224</v>
      </c>
      <c r="G16" s="16">
        <f>15+34</f>
        <v>49</v>
      </c>
      <c r="H16" s="16">
        <v>0</v>
      </c>
      <c r="I16" s="16">
        <v>2446</v>
      </c>
      <c r="J16" s="16">
        <v>5654</v>
      </c>
      <c r="K16" s="16">
        <f>I16+J16-C16-E16</f>
        <v>0</v>
      </c>
      <c r="L16" s="16">
        <f>C16-I16</f>
        <v>-506</v>
      </c>
      <c r="M16" s="16"/>
    </row>
    <row r="17" ht="20.05" customHeight="1">
      <c r="B17" s="26"/>
      <c r="C17" s="15">
        <v>1925</v>
      </c>
      <c r="D17" s="16">
        <v>8065</v>
      </c>
      <c r="E17" s="16">
        <f>D17-C17</f>
        <v>6140</v>
      </c>
      <c r="F17" s="16">
        <v>1267</v>
      </c>
      <c r="G17" s="16">
        <f t="shared" si="48" ref="G17:G22">16+34</f>
        <v>50</v>
      </c>
      <c r="H17" s="16">
        <v>0</v>
      </c>
      <c r="I17" s="16">
        <v>2461</v>
      </c>
      <c r="J17" s="16">
        <v>5604</v>
      </c>
      <c r="K17" s="16">
        <f>I17+J17-C17-E17</f>
        <v>0</v>
      </c>
      <c r="L17" s="16">
        <f>C17-I17</f>
        <v>-536</v>
      </c>
      <c r="M17" s="16"/>
    </row>
    <row r="18" ht="20.05" customHeight="1">
      <c r="B18" s="26"/>
      <c r="C18" s="15">
        <v>1889</v>
      </c>
      <c r="D18" s="16">
        <v>7985</v>
      </c>
      <c r="E18" s="16">
        <f>D18-C18</f>
        <v>6096</v>
      </c>
      <c r="F18" s="16">
        <v>1304</v>
      </c>
      <c r="G18" s="16">
        <f>16+48</f>
        <v>64</v>
      </c>
      <c r="H18" s="16">
        <v>0</v>
      </c>
      <c r="I18" s="16">
        <v>2287</v>
      </c>
      <c r="J18" s="16">
        <v>5698</v>
      </c>
      <c r="K18" s="16">
        <f>I18+J18-C18-E18</f>
        <v>0</v>
      </c>
      <c r="L18" s="16">
        <f>C18-I18</f>
        <v>-398</v>
      </c>
      <c r="M18" s="16"/>
    </row>
    <row r="19" ht="20.05" customHeight="1">
      <c r="B19" s="26"/>
      <c r="C19" s="15">
        <v>2254</v>
      </c>
      <c r="D19" s="16">
        <v>8373</v>
      </c>
      <c r="E19" s="16">
        <f>D19-C19</f>
        <v>6119</v>
      </c>
      <c r="F19" s="16">
        <f>1334</f>
        <v>1334</v>
      </c>
      <c r="G19" s="16">
        <v>0</v>
      </c>
      <c r="H19" s="16">
        <v>62</v>
      </c>
      <c r="I19" s="16">
        <v>2582</v>
      </c>
      <c r="J19" s="16">
        <v>5791</v>
      </c>
      <c r="K19" s="16">
        <f>I19+J19-C19-E19</f>
        <v>0</v>
      </c>
      <c r="L19" s="16">
        <f>C19-I19</f>
        <v>-328</v>
      </c>
      <c r="M19" s="35"/>
    </row>
    <row r="20" ht="20.05" customHeight="1">
      <c r="B20" s="27">
        <v>2020</v>
      </c>
      <c r="C20" s="15">
        <v>2377</v>
      </c>
      <c r="D20" s="16">
        <v>8884</v>
      </c>
      <c r="E20" s="16">
        <f>D20-C20</f>
        <v>6507</v>
      </c>
      <c r="F20" s="16">
        <f>1379+8</f>
        <v>1387</v>
      </c>
      <c r="G20" s="16">
        <f>19+37</f>
        <v>56</v>
      </c>
      <c r="H20" s="16">
        <f>19+48</f>
        <v>67</v>
      </c>
      <c r="I20" s="16">
        <v>2781</v>
      </c>
      <c r="J20" s="16">
        <v>6103</v>
      </c>
      <c r="K20" s="16">
        <f>I20+J20-C20-E20</f>
        <v>0</v>
      </c>
      <c r="L20" s="16">
        <f>C20-I20</f>
        <v>-404</v>
      </c>
      <c r="M20" s="35"/>
    </row>
    <row r="21" ht="20.05" customHeight="1">
      <c r="B21" s="26"/>
      <c r="C21" s="15">
        <v>2431</v>
      </c>
      <c r="D21" s="16">
        <v>8757</v>
      </c>
      <c r="E21" s="16">
        <f>D21-C21</f>
        <v>6326</v>
      </c>
      <c r="F21" s="16">
        <f>1422+15</f>
        <v>1437</v>
      </c>
      <c r="G21" s="16">
        <f>19+32</f>
        <v>51</v>
      </c>
      <c r="H21" s="16">
        <f>21+16</f>
        <v>37</v>
      </c>
      <c r="I21" s="16">
        <v>2802</v>
      </c>
      <c r="J21" s="16">
        <v>5955</v>
      </c>
      <c r="K21" s="16">
        <f>I21+J21-C21-E21</f>
        <v>0</v>
      </c>
      <c r="L21" s="16">
        <f>C21-I21</f>
        <v>-371</v>
      </c>
      <c r="M21" s="35"/>
    </row>
    <row r="22" ht="20.05" customHeight="1">
      <c r="B22" s="26"/>
      <c r="C22" s="15">
        <v>2349</v>
      </c>
      <c r="D22" s="16">
        <v>8897</v>
      </c>
      <c r="E22" s="16">
        <f>D22-C22</f>
        <v>6548</v>
      </c>
      <c r="F22" s="16">
        <f>1462+22</f>
        <v>1484</v>
      </c>
      <c r="G22" s="16">
        <f t="shared" si="48"/>
        <v>50</v>
      </c>
      <c r="H22" s="16">
        <f>18+13</f>
        <v>31</v>
      </c>
      <c r="I22" s="16">
        <v>2806</v>
      </c>
      <c r="J22" s="16">
        <v>6091</v>
      </c>
      <c r="K22" s="16">
        <f>I22+J22-C22-E22</f>
        <v>0</v>
      </c>
      <c r="L22" s="16">
        <f>C22-I22</f>
        <v>-457</v>
      </c>
      <c r="M22" s="35"/>
    </row>
    <row r="23" ht="20.05" customHeight="1">
      <c r="B23" s="26"/>
      <c r="C23" s="15">
        <v>2645.9</v>
      </c>
      <c r="D23" s="16">
        <v>9104.6</v>
      </c>
      <c r="E23" s="16">
        <f>D23-C23</f>
        <v>6458.7</v>
      </c>
      <c r="F23" s="16">
        <f>1466+109</f>
        <v>1575</v>
      </c>
      <c r="G23" s="16">
        <v>0</v>
      </c>
      <c r="H23" s="16">
        <v>74</v>
      </c>
      <c r="I23" s="16">
        <v>2727.4</v>
      </c>
      <c r="J23" s="16">
        <v>6377.2</v>
      </c>
      <c r="K23" s="16">
        <f>I23+J23-C23-E23</f>
        <v>0</v>
      </c>
      <c r="L23" s="16">
        <f>C23-I23</f>
        <v>-81.5</v>
      </c>
      <c r="M23" s="35"/>
    </row>
    <row r="24" ht="20.05" customHeight="1">
      <c r="B24" s="27">
        <v>2021</v>
      </c>
      <c r="C24" s="15">
        <v>2677</v>
      </c>
      <c r="D24" s="16">
        <v>9716</v>
      </c>
      <c r="E24" s="16">
        <f>D24-C24</f>
        <v>7039</v>
      </c>
      <c r="F24" s="16">
        <f>1510+118</f>
        <v>1628</v>
      </c>
      <c r="G24" s="16">
        <v>0</v>
      </c>
      <c r="H24" s="16">
        <f>22+39</f>
        <v>61</v>
      </c>
      <c r="I24" s="16">
        <v>3027</v>
      </c>
      <c r="J24" s="16">
        <v>6689</v>
      </c>
      <c r="K24" s="16">
        <f>I24+J24-C24-E24</f>
        <v>0</v>
      </c>
      <c r="L24" s="16">
        <f>C24-I24</f>
        <v>-350</v>
      </c>
      <c r="M24" s="16"/>
    </row>
    <row r="25" ht="20.05" customHeight="1">
      <c r="B25" s="26"/>
      <c r="C25" s="15">
        <v>2722</v>
      </c>
      <c r="D25" s="16">
        <v>9613</v>
      </c>
      <c r="E25" s="16">
        <f>D25-C25</f>
        <v>6891</v>
      </c>
      <c r="F25" s="16">
        <f>1550+127</f>
        <v>1677</v>
      </c>
      <c r="G25" s="16">
        <v>0</v>
      </c>
      <c r="H25" s="16">
        <f>23+35</f>
        <v>58</v>
      </c>
      <c r="I25" s="16">
        <v>3063</v>
      </c>
      <c r="J25" s="16">
        <v>6550</v>
      </c>
      <c r="K25" s="16">
        <f>I25+J25-C25-E25</f>
        <v>0</v>
      </c>
      <c r="L25" s="16">
        <f>C25-I25</f>
        <v>-341</v>
      </c>
      <c r="M25" s="16"/>
    </row>
    <row r="26" ht="20.05" customHeight="1">
      <c r="B26" s="26"/>
      <c r="C26" s="15">
        <v>2689</v>
      </c>
      <c r="D26" s="16">
        <v>9616</v>
      </c>
      <c r="E26" s="16">
        <f>D26-C26</f>
        <v>6927</v>
      </c>
      <c r="F26" s="16">
        <f>1591+76</f>
        <v>1667</v>
      </c>
      <c r="G26" s="16">
        <v>0</v>
      </c>
      <c r="H26" s="16">
        <f>39+99</f>
        <v>138</v>
      </c>
      <c r="I26" s="16">
        <v>2924</v>
      </c>
      <c r="J26" s="16">
        <v>6692</v>
      </c>
      <c r="K26" s="16">
        <f>I26+J26-C26-E26</f>
        <v>0</v>
      </c>
      <c r="L26" s="16">
        <f>C26-I26</f>
        <v>-235</v>
      </c>
      <c r="M26" s="16"/>
    </row>
    <row r="27" ht="20.05" customHeight="1">
      <c r="B27" s="26"/>
      <c r="C27" s="15">
        <v>2688</v>
      </c>
      <c r="D27" s="16">
        <v>9644</v>
      </c>
      <c r="E27" s="16">
        <f>D27-C27</f>
        <v>6956</v>
      </c>
      <c r="F27" s="16">
        <f>70+1631</f>
        <v>1701</v>
      </c>
      <c r="G27" s="16">
        <v>0</v>
      </c>
      <c r="H27" s="16">
        <f>101+35</f>
        <v>136</v>
      </c>
      <c r="I27" s="16">
        <v>2769</v>
      </c>
      <c r="J27" s="16">
        <v>6875</v>
      </c>
      <c r="K27" s="16">
        <f>I27+J27-C27-E27</f>
        <v>0</v>
      </c>
      <c r="L27" s="16">
        <f>C27-I27</f>
        <v>-81</v>
      </c>
      <c r="M27" s="16"/>
    </row>
    <row r="28" ht="20.05" customHeight="1">
      <c r="B28" s="27">
        <v>2022</v>
      </c>
      <c r="C28" s="15">
        <v>2793</v>
      </c>
      <c r="D28" s="16">
        <v>10391</v>
      </c>
      <c r="E28" s="16">
        <f>D28-C28</f>
        <v>7598</v>
      </c>
      <c r="F28" s="16">
        <f>76+1677</f>
        <v>1753</v>
      </c>
      <c r="G28" s="16">
        <v>0</v>
      </c>
      <c r="H28" s="16">
        <f>31+99</f>
        <v>130</v>
      </c>
      <c r="I28" s="16">
        <v>3226</v>
      </c>
      <c r="J28" s="16">
        <v>7165</v>
      </c>
      <c r="K28" s="16">
        <f>I28+J28-C28-E28</f>
        <v>0</v>
      </c>
      <c r="L28" s="16">
        <f>C28-I28</f>
        <v>-433</v>
      </c>
      <c r="M28" s="16">
        <v>416.576484093156</v>
      </c>
    </row>
    <row r="29" ht="20.05" customHeight="1">
      <c r="B29" s="26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>
        <f>'Model'!F32</f>
        <v>32.813123259987</v>
      </c>
    </row>
  </sheetData>
  <mergeCells count="1">
    <mergeCell ref="B2:M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3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6" customWidth="1"/>
    <col min="2" max="4" width="9.9375" style="36" customWidth="1"/>
    <col min="5" max="16384" width="16.3516" style="36" customWidth="1"/>
  </cols>
  <sheetData>
    <row r="1" ht="30.75" customHeight="1"/>
    <row r="2" ht="27.65" customHeight="1">
      <c r="B2" t="s" s="2">
        <v>56</v>
      </c>
      <c r="C2" s="2"/>
      <c r="D2" s="2"/>
    </row>
    <row r="3" ht="20.25" customHeight="1">
      <c r="B3" s="4"/>
      <c r="C3" t="s" s="37">
        <v>57</v>
      </c>
      <c r="D3" t="s" s="37">
        <v>58</v>
      </c>
    </row>
    <row r="4" ht="20.25" customHeight="1">
      <c r="B4" s="23">
        <v>2016</v>
      </c>
      <c r="C4" s="30">
        <v>1738.544312</v>
      </c>
      <c r="D4" s="8"/>
    </row>
    <row r="5" ht="20.05" customHeight="1">
      <c r="B5" s="26"/>
      <c r="C5" s="15">
        <v>1797.589722</v>
      </c>
      <c r="D5" s="19"/>
    </row>
    <row r="6" ht="20.05" customHeight="1">
      <c r="B6" s="26"/>
      <c r="C6" s="15">
        <v>1922.794922</v>
      </c>
      <c r="D6" s="19"/>
    </row>
    <row r="7" ht="20.05" customHeight="1">
      <c r="B7" s="26"/>
      <c r="C7" s="15">
        <v>1663.441162</v>
      </c>
      <c r="D7" s="19"/>
    </row>
    <row r="8" ht="20.05" customHeight="1">
      <c r="B8" s="27">
        <v>2017</v>
      </c>
      <c r="C8" s="15">
        <v>1851.249023</v>
      </c>
      <c r="D8" s="19"/>
    </row>
    <row r="9" ht="20.05" customHeight="1">
      <c r="B9" s="26"/>
      <c r="C9" s="15">
        <v>1774.887695</v>
      </c>
      <c r="D9" s="19"/>
    </row>
    <row r="10" ht="20.05" customHeight="1">
      <c r="B10" s="26"/>
      <c r="C10" s="15">
        <v>1696.921021</v>
      </c>
      <c r="D10" s="19"/>
    </row>
    <row r="11" ht="20.05" customHeight="1">
      <c r="B11" s="26"/>
      <c r="C11" s="15">
        <v>1522.6427</v>
      </c>
      <c r="D11" s="19"/>
    </row>
    <row r="12" ht="20.05" customHeight="1">
      <c r="B12" s="27">
        <v>2018</v>
      </c>
      <c r="C12" s="15">
        <v>1458.434814</v>
      </c>
      <c r="D12" s="19"/>
    </row>
    <row r="13" ht="20.05" customHeight="1">
      <c r="B13" s="26"/>
      <c r="C13" s="15">
        <v>1410.714355</v>
      </c>
      <c r="D13" s="19"/>
    </row>
    <row r="14" ht="20.05" customHeight="1">
      <c r="B14" s="26"/>
      <c r="C14" s="15">
        <v>1297.857178</v>
      </c>
      <c r="D14" s="19"/>
    </row>
    <row r="15" ht="20.05" customHeight="1">
      <c r="B15" s="26"/>
      <c r="C15" s="15">
        <v>1434.226318</v>
      </c>
      <c r="D15" s="19"/>
    </row>
    <row r="16" ht="20.05" customHeight="1">
      <c r="B16" s="27">
        <v>2019</v>
      </c>
      <c r="C16" s="15">
        <v>1636.428589</v>
      </c>
      <c r="D16" s="19"/>
    </row>
    <row r="17" ht="20.05" customHeight="1">
      <c r="B17" s="26"/>
      <c r="C17" s="15">
        <v>1513.928589</v>
      </c>
      <c r="D17" s="19"/>
    </row>
    <row r="18" ht="20.05" customHeight="1">
      <c r="B18" s="26"/>
      <c r="C18" s="15">
        <v>1364.464355</v>
      </c>
      <c r="D18" s="19"/>
    </row>
    <row r="19" ht="20.05" customHeight="1">
      <c r="B19" s="26"/>
      <c r="C19" s="15">
        <v>1248.75</v>
      </c>
      <c r="D19" s="19"/>
    </row>
    <row r="20" ht="20.05" customHeight="1">
      <c r="B20" s="27">
        <v>2020</v>
      </c>
      <c r="C20" s="15">
        <v>930.535706</v>
      </c>
      <c r="D20" s="19"/>
    </row>
    <row r="21" ht="20.05" customHeight="1">
      <c r="B21" s="26"/>
      <c r="C21" s="15">
        <v>1340.357178</v>
      </c>
      <c r="D21" s="19"/>
    </row>
    <row r="22" ht="20.05" customHeight="1">
      <c r="B22" s="26"/>
      <c r="C22" s="15">
        <v>1280</v>
      </c>
      <c r="D22" s="19"/>
    </row>
    <row r="23" ht="20.05" customHeight="1">
      <c r="B23" s="26"/>
      <c r="C23" s="15">
        <v>1400</v>
      </c>
      <c r="D23" s="19"/>
    </row>
    <row r="24" ht="20.05" customHeight="1">
      <c r="B24" s="27">
        <v>2021</v>
      </c>
      <c r="C24" s="15">
        <v>1480</v>
      </c>
      <c r="D24" s="38"/>
    </row>
    <row r="25" ht="20.05" customHeight="1">
      <c r="B25" s="26"/>
      <c r="C25" s="15">
        <v>1470</v>
      </c>
      <c r="D25" s="38"/>
    </row>
    <row r="26" ht="20.05" customHeight="1">
      <c r="B26" s="26"/>
      <c r="C26" s="15">
        <v>1430</v>
      </c>
      <c r="D26" s="19"/>
    </row>
    <row r="27" ht="20.05" customHeight="1">
      <c r="B27" s="26"/>
      <c r="C27" s="15">
        <v>1500</v>
      </c>
      <c r="D27" s="19"/>
    </row>
    <row r="28" ht="20.05" customHeight="1">
      <c r="B28" s="27">
        <v>2022</v>
      </c>
      <c r="C28" s="15">
        <v>1475</v>
      </c>
      <c r="D28" s="39">
        <v>2070.842106973140</v>
      </c>
    </row>
    <row r="29" ht="20.05" customHeight="1">
      <c r="B29" s="26"/>
      <c r="C29" s="15">
        <v>1400</v>
      </c>
      <c r="D29" s="39">
        <v>2515.136280228370</v>
      </c>
    </row>
    <row r="30" ht="20.05" customHeight="1">
      <c r="B30" s="26"/>
      <c r="C30" s="15"/>
      <c r="D30" s="39">
        <f>'Model'!F45</f>
        <v>2153.534411298060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