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" sheetId="5" r:id="rId8"/>
    <sheet name="OJK" sheetId="6" r:id="rId9"/>
  </sheets>
</workbook>
</file>

<file path=xl/sharedStrings.xml><?xml version="1.0" encoding="utf-8"?>
<sst xmlns="http://schemas.openxmlformats.org/spreadsheetml/2006/main" uniqueCount="66">
  <si>
    <t>Financial model</t>
  </si>
  <si>
    <t>Rpbn</t>
  </si>
  <si>
    <t>4Q 2022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</si>
  <si>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</si>
  <si>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</si>
  <si>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</si>
  <si>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</si>
  <si>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</si>
  <si>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</si>
  <si>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</si>
  <si>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</si>
  <si>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</si>
  <si>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</si>
  <si>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</si>
  <si>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</si>
  <si>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</si>
  <si>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</si>
  <si>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</si>
  <si>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</si>
  <si>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</si>
  <si>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</si>
  <si>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</si>
  <si>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</si>
  <si>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</si>
  <si>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</si>
  <si>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LT assets</t>
  </si>
  <si>
    <t xml:space="preserve">Equity </t>
  </si>
  <si>
    <t xml:space="preserve">Check </t>
  </si>
  <si>
    <t>Net cash</t>
  </si>
  <si>
    <t xml:space="preserve">Valuation </t>
  </si>
  <si>
    <t xml:space="preserve">Capital </t>
  </si>
  <si>
    <t>Current value</t>
  </si>
  <si>
    <t>P/assets</t>
  </si>
  <si>
    <t>Yield</t>
  </si>
  <si>
    <t xml:space="preserve">Payback </t>
  </si>
  <si>
    <t xml:space="preserve">Forecast </t>
  </si>
  <si>
    <t>Value</t>
  </si>
  <si>
    <t>Shares</t>
  </si>
  <si>
    <t xml:space="preserve">Target </t>
  </si>
  <si>
    <t xml:space="preserve">Current </t>
  </si>
  <si>
    <t>V target</t>
  </si>
  <si>
    <t xml:space="preserve">12 month growth </t>
  </si>
  <si>
    <t xml:space="preserve">Sales forecasts </t>
  </si>
  <si>
    <t>Other non-cash costs</t>
  </si>
  <si>
    <t xml:space="preserve">Net income </t>
  </si>
  <si>
    <t xml:space="preserve">Sales growth </t>
  </si>
  <si>
    <t xml:space="preserve">Cost ratio </t>
  </si>
  <si>
    <t>Qcashflow</t>
  </si>
  <si>
    <t xml:space="preserve">Receipts </t>
  </si>
  <si>
    <t>Interest</t>
  </si>
  <si>
    <t xml:space="preserve">Operating </t>
  </si>
  <si>
    <t xml:space="preserve">Investment </t>
  </si>
  <si>
    <t>Liabilities</t>
  </si>
  <si>
    <t>Leasing</t>
  </si>
  <si>
    <t xml:space="preserve">Free cashflow </t>
  </si>
  <si>
    <t>Capital</t>
  </si>
  <si>
    <t xml:space="preserve">  Cash</t>
  </si>
  <si>
    <t>Assets</t>
  </si>
  <si>
    <t xml:space="preserve">Other assets </t>
  </si>
  <si>
    <t xml:space="preserve">Net cash </t>
  </si>
  <si>
    <t>Share price monthly</t>
  </si>
  <si>
    <t>TRIM</t>
  </si>
  <si>
    <t>Previous Target</t>
  </si>
  <si>
    <t>Table 1</t>
  </si>
  <si>
    <t>OJK</t>
  </si>
  <si>
    <t>TRIM OJK levy % of sales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</si>
</sst>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%"/>
    <numFmt numFmtId="60" formatCode="0%_);[Red]\(0%\)"/>
    <numFmt numFmtId="61" formatCode="0_);[Red]\(0\)"/>
    <numFmt numFmtId="62" formatCode="#,##0.0"/>
    <numFmt numFmtId="63" formatCode="0.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63" fontId="0" borderId="4" applyNumberFormat="1" applyFont="1" applyFill="0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8923"/>
          <c:y val="0.0426778"/>
          <c:w val="0.802638"/>
          <c:h val="0.886395"/>
        </c:manualLayout>
      </c:layout>
      <c:lineChart>
        <c:grouping val="standard"/>
        <c:varyColors val="0"/>
        <c:ser>
          <c:idx val="0"/>
          <c:order val="0"/>
          <c:tx>
            <c:strRef>
              <c:f>'OJK'!$E$3</c:f>
              <c:strCache>
                <c:ptCount val="1"/>
                <c:pt idx="0">
                  <c:v>TRIM OJK levy % of sales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'OJK'!$B$4:$B$11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'OJK'!$E$4:$E$11</c:f>
              <c:numCache>
                <c:ptCount val="8"/>
                <c:pt idx="0">
                  <c:v>0.007291</c:v>
                </c:pt>
                <c:pt idx="1">
                  <c:v>0.013497</c:v>
                </c:pt>
                <c:pt idx="2">
                  <c:v>0.017732</c:v>
                </c:pt>
                <c:pt idx="3">
                  <c:v>0.019241</c:v>
                </c:pt>
                <c:pt idx="4">
                  <c:v>0.026855</c:v>
                </c:pt>
                <c:pt idx="5">
                  <c:v>0.025306</c:v>
                </c:pt>
                <c:pt idx="6">
                  <c:v>0.027244</c:v>
                </c:pt>
                <c:pt idx="7">
                  <c:v>0.032453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0.01"/>
        <c:minorUnit val="0.00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77835"/>
          <c:y val="0.115985"/>
          <c:w val="0.644329"/>
          <c:h val="0.067677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12</xdr:col>
      <xdr:colOff>567081</xdr:colOff>
      <xdr:row>8</xdr:row>
      <xdr:rowOff>33482</xdr:rowOff>
    </xdr:from>
    <xdr:to>
      <xdr:col>12</xdr:col>
      <xdr:colOff>568351</xdr:colOff>
      <xdr:row>8</xdr:row>
      <xdr:rowOff>33482</xdr:rowOff>
    </xdr:to>
    <xdr:sp>
      <xdr:nvSpPr>
        <xdr:cNvPr id="2" name="Drawing"/>
        <xdr:cNvSpPr/>
      </xdr:nvSpPr>
      <xdr:spPr>
        <a:xfrm>
          <a:off x="12301881" y="2192482"/>
          <a:ext cx="1271" cy="1"/>
        </a:xfrm>
        <a:prstGeom prst="ellipse">
          <a:avLst/>
        </a:prstGeom>
        <a:noFill/>
        <a:ln w="25400" cap="rnd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6</xdr:col>
      <xdr:colOff>403146</xdr:colOff>
      <xdr:row>1</xdr:row>
      <xdr:rowOff>310234</xdr:rowOff>
    </xdr:from>
    <xdr:to>
      <xdr:col>13</xdr:col>
      <xdr:colOff>600280</xdr:colOff>
      <xdr:row>48</xdr:row>
      <xdr:rowOff>123898</xdr:rowOff>
    </xdr:to>
    <xdr:pic>
      <xdr:nvPicPr>
        <xdr:cNvPr id="3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70346" y="584554"/>
          <a:ext cx="8909335" cy="119078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239144</xdr:colOff>
      <xdr:row>16</xdr:row>
      <xdr:rowOff>79461</xdr:rowOff>
    </xdr:from>
    <xdr:to>
      <xdr:col>5</xdr:col>
      <xdr:colOff>923529</xdr:colOff>
      <xdr:row>30</xdr:row>
      <xdr:rowOff>28865</xdr:rowOff>
    </xdr:to>
    <xdr:graphicFrame>
      <xdr:nvGraphicFramePr>
        <xdr:cNvPr id="5" name="2D Line Chart"/>
        <xdr:cNvGraphicFramePr/>
      </xdr:nvGraphicFramePr>
      <xdr:xfrm>
        <a:off x="1674244" y="6212926"/>
        <a:ext cx="3046586" cy="3487625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5625" style="1" customWidth="1"/>
    <col min="2" max="2" width="14.1172" style="1" customWidth="1"/>
    <col min="3" max="6" width="9.39062" style="1" customWidth="1"/>
    <col min="7" max="16384" width="16.3516" style="1" customWidth="1"/>
  </cols>
  <sheetData>
    <row r="1" ht="21.6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s="4"/>
      <c r="D3" s="4"/>
      <c r="E3" t="s" s="5">
        <v>2</v>
      </c>
      <c r="F3" s="4"/>
    </row>
    <row r="4" ht="20.3" customHeight="1">
      <c r="B4" t="s" s="6">
        <v>3</v>
      </c>
      <c r="C4" s="7">
        <f>AVERAGE('Sales'!H29:H32)</f>
        <v>0.028191033842318</v>
      </c>
      <c r="D4" s="8"/>
      <c r="E4" s="8"/>
      <c r="F4" s="9">
        <f>AVERAGE(C5:F5)</f>
        <v>0.025</v>
      </c>
    </row>
    <row r="5" ht="20.1" customHeight="1">
      <c r="B5" t="s" s="10">
        <v>4</v>
      </c>
      <c r="C5" s="11">
        <v>0.02</v>
      </c>
      <c r="D5" s="12">
        <v>0.02</v>
      </c>
      <c r="E5" s="12">
        <v>0.07000000000000001</v>
      </c>
      <c r="F5" s="12">
        <v>-0.01</v>
      </c>
    </row>
    <row r="6" ht="20.1" customHeight="1">
      <c r="B6" t="s" s="10">
        <v>5</v>
      </c>
      <c r="C6" s="13">
        <f>'Sales'!C32*(1+C5)</f>
        <v>140.556</v>
      </c>
      <c r="D6" s="14">
        <f>C6*(1+D5)</f>
        <v>143.36712</v>
      </c>
      <c r="E6" s="14">
        <f>D6*(1+E5)</f>
        <v>153.4028184</v>
      </c>
      <c r="F6" s="14">
        <f>E6*(1+F5)</f>
        <v>151.868790216</v>
      </c>
    </row>
    <row r="7" ht="20.1" customHeight="1">
      <c r="B7" t="s" s="10">
        <v>6</v>
      </c>
      <c r="C7" s="15">
        <f>AVERAGE('Sales'!I32)</f>
        <v>-0.798258345428157</v>
      </c>
      <c r="D7" s="16">
        <f>C7</f>
        <v>-0.798258345428157</v>
      </c>
      <c r="E7" s="16">
        <f>D7</f>
        <v>-0.798258345428157</v>
      </c>
      <c r="F7" s="16">
        <f>E7</f>
        <v>-0.798258345428157</v>
      </c>
    </row>
    <row r="8" ht="20.1" customHeight="1">
      <c r="B8" t="s" s="10">
        <v>7</v>
      </c>
      <c r="C8" s="17">
        <f>C7*C6</f>
        <v>-112.2</v>
      </c>
      <c r="D8" s="18">
        <f>D7*D6</f>
        <v>-114.444</v>
      </c>
      <c r="E8" s="18">
        <f>E7*E6</f>
        <v>-122.45508</v>
      </c>
      <c r="F8" s="18">
        <f>F7*F6</f>
        <v>-121.2305292</v>
      </c>
    </row>
    <row r="9" ht="20.1" customHeight="1">
      <c r="B9" t="s" s="10">
        <v>8</v>
      </c>
      <c r="C9" s="19">
        <f>C6+C8</f>
        <v>28.356</v>
      </c>
      <c r="D9" s="20">
        <f>D6+D8</f>
        <v>28.92312</v>
      </c>
      <c r="E9" s="20">
        <f>E6+E8</f>
        <v>30.9477384</v>
      </c>
      <c r="F9" s="20">
        <f>F6+F8</f>
        <v>30.638261016</v>
      </c>
    </row>
    <row r="10" ht="20.05" customHeight="1">
      <c r="B10" t="s" s="10">
        <v>9</v>
      </c>
      <c r="C10" s="17">
        <f>AVERAGE('Cashflow'!F32)</f>
        <v>0.2</v>
      </c>
      <c r="D10" s="18">
        <f>C10</f>
        <v>0.2</v>
      </c>
      <c r="E10" s="18">
        <f>D10</f>
        <v>0.2</v>
      </c>
      <c r="F10" s="18">
        <f>E10</f>
        <v>0.2</v>
      </c>
    </row>
    <row r="11" ht="20.1" customHeight="1">
      <c r="B11" t="s" s="10">
        <v>10</v>
      </c>
      <c r="C11" s="17">
        <f>C12+C15+C13</f>
        <v>-28.556</v>
      </c>
      <c r="D11" s="18">
        <f>D12+D15+D13</f>
        <v>-29.12312</v>
      </c>
      <c r="E11" s="18">
        <f>E12+E15+E13</f>
        <v>-31.1477384</v>
      </c>
      <c r="F11" s="18">
        <f>F12+F15+F13</f>
        <v>-30.838261016</v>
      </c>
    </row>
    <row r="12" ht="20.1" customHeight="1">
      <c r="B12" t="s" s="10">
        <v>11</v>
      </c>
      <c r="C12" s="17">
        <f>-'Balance Sheet '!F31/20</f>
        <v>-80.3</v>
      </c>
      <c r="D12" s="18">
        <f>-C27/20</f>
        <v>-76.285</v>
      </c>
      <c r="E12" s="18">
        <f>-D27/20</f>
        <v>-72.47075</v>
      </c>
      <c r="F12" s="18">
        <f>-E27/20</f>
        <v>-68.8472125</v>
      </c>
    </row>
    <row r="13" ht="20.1" customHeight="1">
      <c r="B13" t="s" s="10">
        <v>12</v>
      </c>
      <c r="C13" s="17">
        <f>-MIN(0,C16)</f>
        <v>58.5108</v>
      </c>
      <c r="D13" s="18">
        <f>-MIN(C28,D16)</f>
        <v>54.098816</v>
      </c>
      <c r="E13" s="18">
        <f>-MIN(D28,E16)</f>
        <v>48.86733312</v>
      </c>
      <c r="F13" s="18">
        <f>-MIN(E28,F16)</f>
        <v>45.4604297888</v>
      </c>
    </row>
    <row r="14" ht="20.1" customHeight="1">
      <c r="B14" t="s" s="10">
        <v>13</v>
      </c>
      <c r="C14" s="21">
        <v>0.3</v>
      </c>
      <c r="D14" s="18"/>
      <c r="E14" s="18"/>
      <c r="F14" s="18"/>
    </row>
    <row r="15" ht="20.1" customHeight="1">
      <c r="B15" t="s" s="10">
        <v>14</v>
      </c>
      <c r="C15" s="17">
        <f>IF(C22&gt;0,-C22*$C$14,0)</f>
        <v>-6.7668</v>
      </c>
      <c r="D15" s="18">
        <f>IF(D22&gt;0,-D22*$C$14,0)</f>
        <v>-6.936936</v>
      </c>
      <c r="E15" s="18">
        <f>IF(E22&gt;0,-E22*$C$14,0)</f>
        <v>-7.54432152</v>
      </c>
      <c r="F15" s="18">
        <f>IF(F22&gt;0,-F22*$C$14,0)</f>
        <v>-7.4514783048</v>
      </c>
    </row>
    <row r="16" ht="20.05" customHeight="1">
      <c r="B16" t="s" s="10">
        <v>15</v>
      </c>
      <c r="C16" s="17">
        <f>C9+C10+C12+C15</f>
        <v>-58.5108</v>
      </c>
      <c r="D16" s="18">
        <f>D9+D10+D12+D15</f>
        <v>-54.098816</v>
      </c>
      <c r="E16" s="18">
        <f>E9+E10+E12+E15</f>
        <v>-48.86733312</v>
      </c>
      <c r="F16" s="18">
        <f>F9+F10+F12+F15</f>
        <v>-45.4604297888</v>
      </c>
    </row>
    <row r="17" ht="20.1" customHeight="1">
      <c r="B17" t="s" s="10">
        <v>16</v>
      </c>
      <c r="C17" s="17">
        <f>'Balance Sheet '!B31</f>
        <v>338</v>
      </c>
      <c r="D17" s="18">
        <f>C19</f>
        <v>338</v>
      </c>
      <c r="E17" s="18">
        <f>D19</f>
        <v>338</v>
      </c>
      <c r="F17" s="18">
        <f>E19</f>
        <v>338</v>
      </c>
    </row>
    <row r="18" ht="20.1" customHeight="1">
      <c r="B18" t="s" s="10">
        <v>17</v>
      </c>
      <c r="C18" s="17">
        <f>C9+C10+C11</f>
        <v>0</v>
      </c>
      <c r="D18" s="18">
        <f>D9+D10+D11</f>
        <v>0</v>
      </c>
      <c r="E18" s="18">
        <f>E9+E10+E11</f>
        <v>0</v>
      </c>
      <c r="F18" s="18">
        <f>F9+F10+F11</f>
        <v>0</v>
      </c>
    </row>
    <row r="19" ht="20.1" customHeight="1">
      <c r="B19" t="s" s="10">
        <v>18</v>
      </c>
      <c r="C19" s="17">
        <f>C17+C18</f>
        <v>338</v>
      </c>
      <c r="D19" s="18">
        <f>D17+D18</f>
        <v>338</v>
      </c>
      <c r="E19" s="18">
        <f>E17+E18</f>
        <v>338</v>
      </c>
      <c r="F19" s="18">
        <f>F17+F18</f>
        <v>338</v>
      </c>
    </row>
    <row r="20" ht="20.1" customHeight="1">
      <c r="B20" t="s" s="22">
        <v>19</v>
      </c>
      <c r="C20" s="23"/>
      <c r="D20" s="24"/>
      <c r="E20" s="24"/>
      <c r="F20" s="25"/>
    </row>
    <row r="21" ht="20.1" customHeight="1">
      <c r="B21" t="s" s="10">
        <v>20</v>
      </c>
      <c r="C21" s="17">
        <f>-AVERAGE('Sales'!E32)</f>
        <v>-5.8</v>
      </c>
      <c r="D21" s="18">
        <f>C21</f>
        <v>-5.8</v>
      </c>
      <c r="E21" s="18">
        <f>D21</f>
        <v>-5.8</v>
      </c>
      <c r="F21" s="18">
        <f>E21</f>
        <v>-5.8</v>
      </c>
    </row>
    <row r="22" ht="20.1" customHeight="1">
      <c r="B22" t="s" s="10">
        <v>21</v>
      </c>
      <c r="C22" s="17">
        <f>C6+C8+C21</f>
        <v>22.556</v>
      </c>
      <c r="D22" s="18">
        <f>D6+D8+D21</f>
        <v>23.12312</v>
      </c>
      <c r="E22" s="18">
        <f>E6+E8+E21</f>
        <v>25.1477384</v>
      </c>
      <c r="F22" s="18">
        <f>F6+F8+F21</f>
        <v>24.838261016</v>
      </c>
    </row>
    <row r="23" ht="20.1" customHeight="1">
      <c r="B23" t="s" s="22">
        <v>22</v>
      </c>
      <c r="C23" s="23"/>
      <c r="D23" s="24"/>
      <c r="E23" s="24"/>
      <c r="F23" s="24"/>
    </row>
    <row r="24" ht="20.1" customHeight="1">
      <c r="B24" t="s" s="10">
        <v>23</v>
      </c>
      <c r="C24" s="17">
        <f>'Balance Sheet '!D31+'Balance Sheet '!E31-C10</f>
        <v>2289.8</v>
      </c>
      <c r="D24" s="18">
        <f>C24-D10</f>
        <v>2289.6</v>
      </c>
      <c r="E24" s="18">
        <f>D24-E10</f>
        <v>2289.4</v>
      </c>
      <c r="F24" s="18">
        <f>E24-F10</f>
        <v>2289.2</v>
      </c>
    </row>
    <row r="25" ht="20.1" customHeight="1">
      <c r="B25" t="s" s="10">
        <v>24</v>
      </c>
      <c r="C25" s="17">
        <f>'Balance Sheet '!E31-C21</f>
        <v>128.8</v>
      </c>
      <c r="D25" s="18">
        <f>C25-D21</f>
        <v>134.6</v>
      </c>
      <c r="E25" s="18">
        <f>D25-E21</f>
        <v>140.4</v>
      </c>
      <c r="F25" s="18">
        <f>E25-F21</f>
        <v>146.2</v>
      </c>
    </row>
    <row r="26" ht="20.1" customHeight="1">
      <c r="B26" t="s" s="10">
        <v>25</v>
      </c>
      <c r="C26" s="17">
        <f>C24-C25</f>
        <v>2161</v>
      </c>
      <c r="D26" s="18">
        <f>D24-D25</f>
        <v>2155</v>
      </c>
      <c r="E26" s="18">
        <f>E24-E25</f>
        <v>2149</v>
      </c>
      <c r="F26" s="18">
        <f>F24-F25</f>
        <v>2143</v>
      </c>
    </row>
    <row r="27" ht="20.1" customHeight="1">
      <c r="B27" t="s" s="10">
        <v>11</v>
      </c>
      <c r="C27" s="17">
        <f>'Balance Sheet '!F31+C12</f>
        <v>1525.7</v>
      </c>
      <c r="D27" s="18">
        <f>C27+D12</f>
        <v>1449.415</v>
      </c>
      <c r="E27" s="18">
        <f>D27+E12</f>
        <v>1376.94425</v>
      </c>
      <c r="F27" s="18">
        <f>E27+F12</f>
        <v>1308.0970375</v>
      </c>
    </row>
    <row r="28" ht="20.1" customHeight="1">
      <c r="B28" t="s" s="10">
        <v>12</v>
      </c>
      <c r="C28" s="17">
        <f>C13</f>
        <v>58.5108</v>
      </c>
      <c r="D28" s="18">
        <f>C28+D13</f>
        <v>112.609616</v>
      </c>
      <c r="E28" s="18">
        <f>D28+E13</f>
        <v>161.47694912</v>
      </c>
      <c r="F28" s="18">
        <f>E28+F13</f>
        <v>206.9373789088</v>
      </c>
    </row>
    <row r="29" ht="20.1" customHeight="1">
      <c r="B29" t="s" s="10">
        <v>26</v>
      </c>
      <c r="C29" s="17">
        <f>'Balance Sheet '!G31+C22+C15</f>
        <v>914.7892000000001</v>
      </c>
      <c r="D29" s="18">
        <f>C29+D22+D15</f>
        <v>930.975384</v>
      </c>
      <c r="E29" s="18">
        <f>D29+E22+E15</f>
        <v>948.57880088</v>
      </c>
      <c r="F29" s="18">
        <f>E29+F22+F15</f>
        <v>965.9655835912</v>
      </c>
    </row>
    <row r="30" ht="20.1" customHeight="1">
      <c r="B30" t="s" s="10">
        <v>27</v>
      </c>
      <c r="C30" s="19">
        <f>C27+C28+C29-C19-C26</f>
        <v>0</v>
      </c>
      <c r="D30" s="20">
        <f>D27+D28+D29-D19-D26</f>
        <v>0</v>
      </c>
      <c r="E30" s="20">
        <f>E27+E28+E29-E19-E26</f>
        <v>0</v>
      </c>
      <c r="F30" s="20">
        <f>F27+F28+F29-F19-F26</f>
        <v>0</v>
      </c>
    </row>
    <row r="31" ht="20.1" customHeight="1">
      <c r="B31" t="s" s="10">
        <v>28</v>
      </c>
      <c r="C31" s="17">
        <f>C19-C27-C28</f>
        <v>-1246.2108</v>
      </c>
      <c r="D31" s="18">
        <f>D19-D27-D28</f>
        <v>-1224.024616</v>
      </c>
      <c r="E31" s="18">
        <f>E19-E27-E28</f>
        <v>-1200.42119912</v>
      </c>
      <c r="F31" s="18">
        <f>F19-F27-F28</f>
        <v>-1177.0344164088</v>
      </c>
    </row>
    <row r="32" ht="20.1" customHeight="1">
      <c r="B32" t="s" s="22">
        <v>29</v>
      </c>
      <c r="C32" s="17"/>
      <c r="D32" s="18"/>
      <c r="E32" s="18"/>
      <c r="F32" s="18"/>
    </row>
    <row r="33" ht="20.1" customHeight="1">
      <c r="B33" t="s" s="10">
        <v>30</v>
      </c>
      <c r="C33" s="17">
        <f>'Cashflow'!N32-C11</f>
        <v>79.85599999999999</v>
      </c>
      <c r="D33" s="18">
        <f>C33-D11</f>
        <v>108.97912</v>
      </c>
      <c r="E33" s="18">
        <f>D33-E11</f>
        <v>140.1268584</v>
      </c>
      <c r="F33" s="18">
        <f>E33-F11</f>
        <v>170.965119416</v>
      </c>
    </row>
    <row r="34" ht="20.1" customHeight="1">
      <c r="B34" t="s" s="10">
        <v>31</v>
      </c>
      <c r="C34" s="17"/>
      <c r="D34" s="18"/>
      <c r="E34" s="18"/>
      <c r="F34" s="18">
        <v>2047478464512</v>
      </c>
    </row>
    <row r="35" ht="20.1" customHeight="1">
      <c r="B35" t="s" s="10">
        <v>31</v>
      </c>
      <c r="C35" s="17"/>
      <c r="D35" s="18"/>
      <c r="E35" s="18"/>
      <c r="F35" s="18">
        <f>F34/1000000000</f>
        <v>2047.478464512</v>
      </c>
    </row>
    <row r="36" ht="20.1" customHeight="1">
      <c r="B36" t="s" s="10">
        <v>32</v>
      </c>
      <c r="C36" s="17"/>
      <c r="D36" s="18"/>
      <c r="E36" s="18"/>
      <c r="F36" s="26">
        <f>F35/(F19+F26)</f>
        <v>0.825263387550181</v>
      </c>
    </row>
    <row r="37" ht="20.1" customHeight="1">
      <c r="B37" t="s" s="10">
        <v>33</v>
      </c>
      <c r="C37" s="17"/>
      <c r="D37" s="18"/>
      <c r="E37" s="18"/>
      <c r="F37" s="16">
        <f>-(C15+D15+E15+F15)/F35</f>
        <v>0.0140170147438597</v>
      </c>
    </row>
    <row r="38" ht="20.1" customHeight="1">
      <c r="B38" t="s" s="10">
        <v>3</v>
      </c>
      <c r="C38" s="17"/>
      <c r="D38" s="18"/>
      <c r="E38" s="18"/>
      <c r="F38" s="18">
        <f>SUM(C9:F10)</f>
        <v>119.665119416</v>
      </c>
    </row>
    <row r="39" ht="20.1" customHeight="1">
      <c r="B39" t="s" s="10">
        <v>34</v>
      </c>
      <c r="C39" s="17"/>
      <c r="D39" s="18"/>
      <c r="E39" s="18"/>
      <c r="F39" s="18">
        <f>'Balance Sheet '!D31/F38</f>
        <v>18.1088692392201</v>
      </c>
    </row>
    <row r="40" ht="20.1" customHeight="1">
      <c r="B40" t="s" s="10">
        <v>29</v>
      </c>
      <c r="C40" s="17"/>
      <c r="D40" s="18"/>
      <c r="E40" s="18"/>
      <c r="F40" s="18">
        <f>F35/F38</f>
        <v>17.1100691204277</v>
      </c>
    </row>
    <row r="41" ht="20.1" customHeight="1">
      <c r="B41" t="s" s="10">
        <v>35</v>
      </c>
      <c r="C41" s="17"/>
      <c r="D41" s="18"/>
      <c r="E41" s="18"/>
      <c r="F41" s="18">
        <v>18</v>
      </c>
    </row>
    <row r="42" ht="20.1" customHeight="1">
      <c r="B42" t="s" s="10">
        <v>36</v>
      </c>
      <c r="C42" s="17"/>
      <c r="D42" s="18"/>
      <c r="E42" s="18"/>
      <c r="F42" s="18">
        <f>F38*F41</f>
        <v>2153.972149488</v>
      </c>
    </row>
    <row r="43" ht="20.1" customHeight="1">
      <c r="B43" t="s" s="10">
        <v>37</v>
      </c>
      <c r="C43" s="17"/>
      <c r="D43" s="18"/>
      <c r="E43" s="18"/>
      <c r="F43" s="18">
        <f>F35/F45</f>
        <v>7.109300224</v>
      </c>
    </row>
    <row r="44" ht="20.1" customHeight="1">
      <c r="B44" t="s" s="10">
        <v>38</v>
      </c>
      <c r="C44" s="17"/>
      <c r="D44" s="18"/>
      <c r="E44" s="18"/>
      <c r="F44" s="18">
        <f>F42/F43</f>
        <v>302.979489066518</v>
      </c>
    </row>
    <row r="45" ht="20.1" customHeight="1">
      <c r="B45" t="s" s="10">
        <v>39</v>
      </c>
      <c r="C45" s="17"/>
      <c r="D45" s="18"/>
      <c r="E45" s="18"/>
      <c r="F45" s="18">
        <v>288</v>
      </c>
    </row>
    <row r="46" ht="20.1" customHeight="1">
      <c r="B46" t="s" s="10">
        <v>40</v>
      </c>
      <c r="C46" s="17"/>
      <c r="D46" s="18"/>
      <c r="E46" s="18"/>
      <c r="F46" s="16">
        <f>F44/F45-1</f>
        <v>0.0520121148142986</v>
      </c>
    </row>
    <row r="47" ht="20.1" customHeight="1">
      <c r="B47" t="s" s="10">
        <v>41</v>
      </c>
      <c r="C47" s="17"/>
      <c r="D47" s="18"/>
      <c r="E47" s="18"/>
      <c r="F47" s="16">
        <f>'Sales'!C32/'Sales'!C28-1</f>
        <v>0.0782472613458529</v>
      </c>
    </row>
    <row r="48" ht="20.1" customHeight="1">
      <c r="B48" t="s" s="10">
        <v>42</v>
      </c>
      <c r="C48" s="17"/>
      <c r="D48" s="18"/>
      <c r="E48" s="18"/>
      <c r="F48" s="16">
        <f>'Sales'!F35/'Sales'!E35-1</f>
        <v>0.0361516518936342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1719" style="27" customWidth="1"/>
    <col min="2" max="2" width="9.92969" style="27" customWidth="1"/>
    <col min="3" max="11" width="10.5312" style="27" customWidth="1"/>
    <col min="12" max="16384" width="16.3516" style="27" customWidth="1"/>
  </cols>
  <sheetData>
    <row r="1" ht="53.2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35</v>
      </c>
      <c r="E3" t="s" s="5">
        <v>24</v>
      </c>
      <c r="F3" t="s" s="5">
        <v>43</v>
      </c>
      <c r="G3" t="s" s="5">
        <v>44</v>
      </c>
      <c r="H3" t="s" s="5">
        <v>45</v>
      </c>
      <c r="I3" t="s" s="5">
        <v>46</v>
      </c>
      <c r="J3" t="s" s="5">
        <v>46</v>
      </c>
      <c r="K3" t="s" s="5">
        <v>35</v>
      </c>
    </row>
    <row r="4" ht="20.25" customHeight="1">
      <c r="B4" s="28">
        <v>2015</v>
      </c>
      <c r="C4" s="29">
        <v>91</v>
      </c>
      <c r="D4" s="8"/>
      <c r="E4" s="30">
        <v>2</v>
      </c>
      <c r="F4" s="30"/>
      <c r="G4" s="30">
        <v>15</v>
      </c>
      <c r="H4" s="31"/>
      <c r="I4" s="32">
        <f>(E4+G4-C4)/C4</f>
        <v>-0.813186813186813</v>
      </c>
      <c r="J4" s="31"/>
      <c r="K4" s="31"/>
    </row>
    <row r="5" ht="20.05" customHeight="1">
      <c r="B5" s="33"/>
      <c r="C5" s="34">
        <v>79</v>
      </c>
      <c r="D5" s="25"/>
      <c r="E5" s="35">
        <v>3</v>
      </c>
      <c r="F5" s="35"/>
      <c r="G5" s="35">
        <v>8</v>
      </c>
      <c r="H5" s="16">
        <f>C5/C4-1</f>
        <v>-0.131868131868132</v>
      </c>
      <c r="I5" s="16">
        <f>(E5+G5-C5)/C5</f>
        <v>-0.860759493670886</v>
      </c>
      <c r="J5" s="12"/>
      <c r="K5" s="12"/>
    </row>
    <row r="6" ht="20.05" customHeight="1">
      <c r="B6" s="33"/>
      <c r="C6" s="34">
        <v>68</v>
      </c>
      <c r="D6" s="25"/>
      <c r="E6" s="35">
        <v>2</v>
      </c>
      <c r="F6" s="35"/>
      <c r="G6" s="35">
        <v>2</v>
      </c>
      <c r="H6" s="16">
        <f>C6/C5-1</f>
        <v>-0.139240506329114</v>
      </c>
      <c r="I6" s="16">
        <f>(E6+G6-C6)/C6</f>
        <v>-0.9411764705882349</v>
      </c>
      <c r="J6" s="12"/>
      <c r="K6" s="12"/>
    </row>
    <row r="7" ht="20.05" customHeight="1">
      <c r="B7" s="33"/>
      <c r="C7" s="34">
        <v>85</v>
      </c>
      <c r="D7" s="25"/>
      <c r="E7" s="35">
        <v>3</v>
      </c>
      <c r="F7" s="35"/>
      <c r="G7" s="35">
        <v>8</v>
      </c>
      <c r="H7" s="16">
        <f>C7/C6-1</f>
        <v>0.25</v>
      </c>
      <c r="I7" s="16">
        <f>(E7+G7-C7)/C7</f>
        <v>-0.870588235294118</v>
      </c>
      <c r="J7" s="12"/>
      <c r="K7" s="12"/>
    </row>
    <row r="8" ht="20.05" customHeight="1">
      <c r="B8" s="36">
        <v>2016</v>
      </c>
      <c r="C8" s="34">
        <v>95</v>
      </c>
      <c r="D8" s="25"/>
      <c r="E8" s="35">
        <v>2</v>
      </c>
      <c r="F8" s="35"/>
      <c r="G8" s="35">
        <v>11</v>
      </c>
      <c r="H8" s="16">
        <f>C8/C7-1</f>
        <v>0.117647058823529</v>
      </c>
      <c r="I8" s="16">
        <f>(E8+G8-C8)/C8</f>
        <v>-0.863157894736842</v>
      </c>
      <c r="J8" s="25"/>
      <c r="K8" s="25"/>
    </row>
    <row r="9" ht="20.05" customHeight="1">
      <c r="B9" s="33"/>
      <c r="C9" s="34">
        <v>92</v>
      </c>
      <c r="D9" s="25"/>
      <c r="E9" s="35">
        <v>3</v>
      </c>
      <c r="F9" s="35"/>
      <c r="G9" s="35">
        <v>12</v>
      </c>
      <c r="H9" s="16">
        <f>C9/C8-1</f>
        <v>-0.0315789473684211</v>
      </c>
      <c r="I9" s="16">
        <f>(E9+G9-C9)/C9</f>
        <v>-0.83695652173913</v>
      </c>
      <c r="J9" s="25"/>
      <c r="K9" s="25"/>
    </row>
    <row r="10" ht="20.05" customHeight="1">
      <c r="B10" s="33"/>
      <c r="C10" s="34">
        <v>101</v>
      </c>
      <c r="D10" s="25"/>
      <c r="E10" s="35">
        <v>2</v>
      </c>
      <c r="F10" s="35"/>
      <c r="G10" s="35">
        <v>12</v>
      </c>
      <c r="H10" s="16">
        <f>C10/C9-1</f>
        <v>0.0978260869565217</v>
      </c>
      <c r="I10" s="16">
        <f>(E10+G10-C10)/C10</f>
        <v>-0.861386138613861</v>
      </c>
      <c r="J10" s="25"/>
      <c r="K10" s="25"/>
    </row>
    <row r="11" ht="20.05" customHeight="1">
      <c r="B11" s="33"/>
      <c r="C11" s="34">
        <v>107</v>
      </c>
      <c r="D11" s="25"/>
      <c r="E11" s="35">
        <v>2</v>
      </c>
      <c r="F11" s="35"/>
      <c r="G11" s="35">
        <v>12</v>
      </c>
      <c r="H11" s="16">
        <f>C11/C10-1</f>
        <v>0.0594059405940594</v>
      </c>
      <c r="I11" s="16">
        <f>(E11+G11-C11)/C11</f>
        <v>-0.869158878504673</v>
      </c>
      <c r="J11" s="25"/>
      <c r="K11" s="25"/>
    </row>
    <row r="12" ht="20.05" customHeight="1">
      <c r="B12" s="36">
        <v>2017</v>
      </c>
      <c r="C12" s="34">
        <v>95</v>
      </c>
      <c r="D12" s="25"/>
      <c r="E12" s="35">
        <v>2</v>
      </c>
      <c r="F12" s="35"/>
      <c r="G12" s="35">
        <v>13</v>
      </c>
      <c r="H12" s="16">
        <f>C12/C11-1</f>
        <v>-0.11214953271028</v>
      </c>
      <c r="I12" s="16">
        <f>(E12+G12-C12)/C12</f>
        <v>-0.842105263157895</v>
      </c>
      <c r="J12" s="16">
        <f>AVERAGE(I9:I12)</f>
        <v>-0.85240170050389</v>
      </c>
      <c r="K12" s="25"/>
    </row>
    <row r="13" ht="20.05" customHeight="1">
      <c r="B13" s="33"/>
      <c r="C13" s="34">
        <v>98</v>
      </c>
      <c r="D13" s="25"/>
      <c r="E13" s="35">
        <v>2</v>
      </c>
      <c r="F13" s="35"/>
      <c r="G13" s="35">
        <v>12</v>
      </c>
      <c r="H13" s="16">
        <f>C13/C12-1</f>
        <v>0.0315789473684211</v>
      </c>
      <c r="I13" s="16">
        <f>(E13+G13-C13)/C13</f>
        <v>-0.857142857142857</v>
      </c>
      <c r="J13" s="16">
        <f>AVERAGE(I10:I13)</f>
        <v>-0.857448284354822</v>
      </c>
      <c r="K13" s="25"/>
    </row>
    <row r="14" ht="20.05" customHeight="1">
      <c r="B14" s="33"/>
      <c r="C14" s="34">
        <v>99</v>
      </c>
      <c r="D14" s="25"/>
      <c r="E14" s="35">
        <v>3</v>
      </c>
      <c r="F14" s="35"/>
      <c r="G14" s="35">
        <v>16</v>
      </c>
      <c r="H14" s="16">
        <f>C14/C13-1</f>
        <v>0.0102040816326531</v>
      </c>
      <c r="I14" s="16">
        <f>(E14+G14-C14)/C14</f>
        <v>-0.808080808080808</v>
      </c>
      <c r="J14" s="16">
        <f>AVERAGE(I11:I14)</f>
        <v>-0.844121951721558</v>
      </c>
      <c r="K14" s="25"/>
    </row>
    <row r="15" ht="20.05" customHeight="1">
      <c r="B15" s="33"/>
      <c r="C15" s="34">
        <v>111</v>
      </c>
      <c r="D15" s="25"/>
      <c r="E15" s="35">
        <v>3</v>
      </c>
      <c r="F15" s="35"/>
      <c r="G15" s="35">
        <v>13</v>
      </c>
      <c r="H15" s="16">
        <f>C15/C14-1</f>
        <v>0.121212121212121</v>
      </c>
      <c r="I15" s="16">
        <f>(E15+G15-C15)/C15</f>
        <v>-0.855855855855856</v>
      </c>
      <c r="J15" s="16">
        <f>AVERAGE(I12:I15)</f>
        <v>-0.840796196059354</v>
      </c>
      <c r="K15" s="25"/>
    </row>
    <row r="16" ht="20.05" customHeight="1">
      <c r="B16" s="36">
        <v>2018</v>
      </c>
      <c r="C16" s="34">
        <v>118</v>
      </c>
      <c r="D16" s="25"/>
      <c r="E16" s="35">
        <v>3</v>
      </c>
      <c r="F16" s="35"/>
      <c r="G16" s="35">
        <v>18</v>
      </c>
      <c r="H16" s="16">
        <f>C16/C15-1</f>
        <v>0.0630630630630631</v>
      </c>
      <c r="I16" s="16">
        <f>(E16+G16-C16)/C16</f>
        <v>-0.822033898305085</v>
      </c>
      <c r="J16" s="16">
        <f>AVERAGE(I13:I16)</f>
        <v>-0.835778354846152</v>
      </c>
      <c r="K16" s="25"/>
    </row>
    <row r="17" ht="20.05" customHeight="1">
      <c r="B17" s="33"/>
      <c r="C17" s="34">
        <v>115</v>
      </c>
      <c r="D17" s="25"/>
      <c r="E17" s="35">
        <v>3</v>
      </c>
      <c r="F17" s="35"/>
      <c r="G17" s="35">
        <v>15</v>
      </c>
      <c r="H17" s="16">
        <f>C17/C16-1</f>
        <v>-0.0254237288135593</v>
      </c>
      <c r="I17" s="16">
        <f>(E17+G17-C17)/C17</f>
        <v>-0.843478260869565</v>
      </c>
      <c r="J17" s="16">
        <f>AVERAGE(I14:I17)</f>
        <v>-0.832362205777829</v>
      </c>
      <c r="K17" s="25"/>
    </row>
    <row r="18" ht="20.05" customHeight="1">
      <c r="B18" s="33"/>
      <c r="C18" s="34">
        <v>108</v>
      </c>
      <c r="D18" s="25"/>
      <c r="E18" s="35">
        <v>2</v>
      </c>
      <c r="F18" s="35"/>
      <c r="G18" s="35">
        <v>14</v>
      </c>
      <c r="H18" s="16">
        <f>C18/C17-1</f>
        <v>-0.0608695652173913</v>
      </c>
      <c r="I18" s="16">
        <f>(E18+G18-C18)/C18</f>
        <v>-0.851851851851852</v>
      </c>
      <c r="J18" s="16">
        <f>AVERAGE(I15:I18)</f>
        <v>-0.84330496672059</v>
      </c>
      <c r="K18" s="25"/>
    </row>
    <row r="19" ht="20.05" customHeight="1">
      <c r="B19" s="33"/>
      <c r="C19" s="34">
        <v>108</v>
      </c>
      <c r="D19" s="25"/>
      <c r="E19" s="35">
        <v>3</v>
      </c>
      <c r="F19" s="35"/>
      <c r="G19" s="35">
        <v>13</v>
      </c>
      <c r="H19" s="16">
        <f>C19/C18-1</f>
        <v>0</v>
      </c>
      <c r="I19" s="16">
        <f>(E19+G19-C19)/C19</f>
        <v>-0.851851851851852</v>
      </c>
      <c r="J19" s="16">
        <f>AVERAGE(I16:I19)</f>
        <v>-0.842303965719589</v>
      </c>
      <c r="K19" s="25"/>
    </row>
    <row r="20" ht="20.05" customHeight="1">
      <c r="B20" s="36">
        <v>2019</v>
      </c>
      <c r="C20" s="34">
        <v>114</v>
      </c>
      <c r="D20" s="25"/>
      <c r="E20" s="35">
        <v>2</v>
      </c>
      <c r="F20" s="35"/>
      <c r="G20" s="35">
        <v>17</v>
      </c>
      <c r="H20" s="16">
        <f>C20/C19-1</f>
        <v>0.0555555555555556</v>
      </c>
      <c r="I20" s="16">
        <f>(E20+G20-C20)/C20</f>
        <v>-0.833333333333333</v>
      </c>
      <c r="J20" s="16">
        <f>AVERAGE(I17:I20)</f>
        <v>-0.8451288244766511</v>
      </c>
      <c r="K20" s="25"/>
    </row>
    <row r="21" ht="20.05" customHeight="1">
      <c r="B21" s="33"/>
      <c r="C21" s="34">
        <v>111</v>
      </c>
      <c r="D21" s="25"/>
      <c r="E21" s="35">
        <v>3</v>
      </c>
      <c r="F21" s="35"/>
      <c r="G21" s="35">
        <v>16</v>
      </c>
      <c r="H21" s="16">
        <f>C21/C20-1</f>
        <v>-0.0263157894736842</v>
      </c>
      <c r="I21" s="16">
        <f>(E21+G21-C21)/C21</f>
        <v>-0.828828828828829</v>
      </c>
      <c r="J21" s="16">
        <f>AVERAGE(I18:I21)</f>
        <v>-0.8414664664664669</v>
      </c>
      <c r="K21" s="25"/>
    </row>
    <row r="22" ht="20.05" customHeight="1">
      <c r="B22" s="33"/>
      <c r="C22" s="34">
        <v>104</v>
      </c>
      <c r="D22" s="35">
        <v>113.4</v>
      </c>
      <c r="E22" s="35">
        <v>2.2</v>
      </c>
      <c r="F22" s="35"/>
      <c r="G22" s="35">
        <v>16</v>
      </c>
      <c r="H22" s="16">
        <f>C22/C21-1</f>
        <v>-0.0630630630630631</v>
      </c>
      <c r="I22" s="16">
        <f>(E22+G22-C22)/C22</f>
        <v>-0.825</v>
      </c>
      <c r="J22" s="16">
        <f>AVERAGE(I19:I22)</f>
        <v>-0.834753503503504</v>
      </c>
      <c r="K22" s="25"/>
    </row>
    <row r="23" ht="20.05" customHeight="1">
      <c r="B23" s="33"/>
      <c r="C23" s="34">
        <v>114</v>
      </c>
      <c r="D23" s="35">
        <v>118.8</v>
      </c>
      <c r="E23" s="35">
        <v>2.2</v>
      </c>
      <c r="F23" s="35"/>
      <c r="G23" s="35">
        <v>16</v>
      </c>
      <c r="H23" s="16">
        <f>C23/C22-1</f>
        <v>0.0961538461538462</v>
      </c>
      <c r="I23" s="16">
        <f>(E23+G23-C23)/C23</f>
        <v>-0.840350877192982</v>
      </c>
      <c r="J23" s="16">
        <f>AVERAGE(I20:I23)</f>
        <v>-0.831878259838786</v>
      </c>
      <c r="K23" s="25"/>
    </row>
    <row r="24" ht="20.05" customHeight="1">
      <c r="B24" s="36">
        <v>2020</v>
      </c>
      <c r="C24" s="34">
        <v>95</v>
      </c>
      <c r="D24" s="35">
        <v>131.1</v>
      </c>
      <c r="E24" s="35">
        <v>5</v>
      </c>
      <c r="F24" s="35"/>
      <c r="G24" s="35">
        <v>1</v>
      </c>
      <c r="H24" s="16">
        <f>C24/C23-1</f>
        <v>-0.166666666666667</v>
      </c>
      <c r="I24" s="16">
        <f>(E24+G24-C24)/C24</f>
        <v>-0.936842105263158</v>
      </c>
      <c r="J24" s="16">
        <f>AVERAGE(I21:I24)</f>
        <v>-0.857755452821242</v>
      </c>
      <c r="K24" s="25"/>
    </row>
    <row r="25" ht="20.05" customHeight="1">
      <c r="B25" s="33"/>
      <c r="C25" s="34">
        <v>97.95999999999999</v>
      </c>
      <c r="D25" s="24">
        <v>92.13</v>
      </c>
      <c r="E25" s="35">
        <v>5</v>
      </c>
      <c r="F25" s="35"/>
      <c r="G25" s="35">
        <v>2.6</v>
      </c>
      <c r="H25" s="16">
        <f>C25/C24-1</f>
        <v>0.0311578947368421</v>
      </c>
      <c r="I25" s="16">
        <f>(E25+G25-C25)/C25</f>
        <v>-0.922417313189057</v>
      </c>
      <c r="J25" s="16">
        <f>AVERAGE(I22:I25)</f>
        <v>-0.881152573911299</v>
      </c>
      <c r="K25" s="25"/>
    </row>
    <row r="26" ht="20.05" customHeight="1">
      <c r="B26" s="33"/>
      <c r="C26" s="34">
        <f>299.36-SUM(C24:C25)</f>
        <v>106.4</v>
      </c>
      <c r="D26" s="24">
        <v>112.32</v>
      </c>
      <c r="E26" s="35">
        <f>3.59+10.41-SUM(E24:E25)</f>
        <v>4</v>
      </c>
      <c r="F26" s="25"/>
      <c r="G26" s="35">
        <f>13.58-SUM(G24:G25)</f>
        <v>9.98</v>
      </c>
      <c r="H26" s="16">
        <f>C26/C25-1</f>
        <v>0.0861576153532054</v>
      </c>
      <c r="I26" s="16">
        <f>(E26+G26-C26)/C26</f>
        <v>-0.8686090225563911</v>
      </c>
      <c r="J26" s="16">
        <f>AVERAGE(I23:I26)</f>
        <v>-0.8920548295503971</v>
      </c>
      <c r="K26" s="25"/>
    </row>
    <row r="27" ht="20.05" customHeight="1">
      <c r="B27" s="33"/>
      <c r="C27" s="34">
        <f>424-SUM(C24:C26)</f>
        <v>124.64</v>
      </c>
      <c r="D27" s="24">
        <v>111.72</v>
      </c>
      <c r="E27" s="35">
        <f>19.5-SUM(E24:E26)</f>
        <v>5.5</v>
      </c>
      <c r="F27" s="35">
        <v>17.2</v>
      </c>
      <c r="G27" s="35">
        <f>114.5-SUM(G24:G26)</f>
        <v>100.92</v>
      </c>
      <c r="H27" s="16">
        <f>C27/C26-1</f>
        <v>0.171428571428571</v>
      </c>
      <c r="I27" s="16"/>
      <c r="J27" s="16">
        <f>AVERAGE(I24:I27)</f>
        <v>-0.909289480336202</v>
      </c>
      <c r="K27" s="25"/>
    </row>
    <row r="28" ht="20.05" customHeight="1">
      <c r="B28" s="36">
        <v>2021</v>
      </c>
      <c r="C28" s="34">
        <v>127.8</v>
      </c>
      <c r="D28" s="24">
        <v>112.8372</v>
      </c>
      <c r="E28" s="18">
        <v>4.9</v>
      </c>
      <c r="F28" s="18">
        <f>0.1-0.5</f>
        <v>-0.4</v>
      </c>
      <c r="G28" s="18">
        <v>19.4</v>
      </c>
      <c r="H28" s="16">
        <f>C28/C27-1</f>
        <v>0.0253530166880616</v>
      </c>
      <c r="I28" s="16">
        <f>(E28+G28-C28)/C28</f>
        <v>-0.8098591549295771</v>
      </c>
      <c r="J28" s="16">
        <f>AVERAGE(I25:I28)</f>
        <v>-0.8669618302250079</v>
      </c>
      <c r="K28" s="25"/>
    </row>
    <row r="29" ht="20.05" customHeight="1">
      <c r="B29" s="33"/>
      <c r="C29" s="34">
        <f>234.7-C28</f>
        <v>106.9</v>
      </c>
      <c r="D29" s="24">
        <v>134.19</v>
      </c>
      <c r="E29" s="18">
        <f>9.8-E28</f>
        <v>4.9</v>
      </c>
      <c r="F29" s="20">
        <f>-1.3-F28</f>
        <v>-0.9</v>
      </c>
      <c r="G29" s="18">
        <f>32.7-G28</f>
        <v>13.3</v>
      </c>
      <c r="H29" s="16">
        <f>C29/C28-1</f>
        <v>-0.163536776212833</v>
      </c>
      <c r="I29" s="16">
        <f>(E29+G29-C29)/C29</f>
        <v>-0.829747427502339</v>
      </c>
      <c r="J29" s="16">
        <f>AVERAGE(I26:I29)</f>
        <v>-0.836071868329436</v>
      </c>
      <c r="K29" s="25"/>
    </row>
    <row r="30" ht="20.05" customHeight="1">
      <c r="B30" s="33"/>
      <c r="C30" s="34">
        <f>348-SUM(C28:C29)</f>
        <v>113.3</v>
      </c>
      <c r="D30" s="24">
        <v>110.107</v>
      </c>
      <c r="E30" s="18">
        <f>15-SUM(E28:E29)</f>
        <v>5.2</v>
      </c>
      <c r="F30" s="20">
        <f>8.8-SUM(F28:F29)</f>
        <v>10.1</v>
      </c>
      <c r="G30" s="18">
        <f>46.5-SUM(G28:G29)</f>
        <v>13.8</v>
      </c>
      <c r="H30" s="16">
        <f>C30/C29-1</f>
        <v>0.0598690364826941</v>
      </c>
      <c r="I30" s="16">
        <f>(E30+G30-C30)/C30</f>
        <v>-0.832303618711386</v>
      </c>
      <c r="J30" s="16">
        <f>AVERAGE(I27:I30)</f>
        <v>-0.823970067047767</v>
      </c>
      <c r="K30" s="25"/>
    </row>
    <row r="31" ht="20.05" customHeight="1">
      <c r="B31" s="33"/>
      <c r="C31" s="34">
        <f>461.2-SUM(C28:C30)</f>
        <v>113.2</v>
      </c>
      <c r="D31" s="24">
        <v>124.63</v>
      </c>
      <c r="E31" s="18">
        <f>20.5-SUM(E28:E30)</f>
        <v>5.5</v>
      </c>
      <c r="F31" s="20">
        <f>8.4-SUM(F28:F30)</f>
        <v>-0.4</v>
      </c>
      <c r="G31" s="18">
        <f>51.9-SUM(G28:G30)</f>
        <v>5.4</v>
      </c>
      <c r="H31" s="16">
        <f>C31/C30-1</f>
        <v>-0.00088261253309797</v>
      </c>
      <c r="I31" s="16">
        <f>(E31+G31-C31)/C31</f>
        <v>-0.903710247349823</v>
      </c>
      <c r="J31" s="16">
        <f>AVERAGE(I28:I31)</f>
        <v>-0.843905112123281</v>
      </c>
      <c r="K31" s="25"/>
    </row>
    <row r="32" ht="20.05" customHeight="1">
      <c r="B32" s="36">
        <v>2022</v>
      </c>
      <c r="C32" s="34">
        <v>137.8</v>
      </c>
      <c r="D32" s="24">
        <v>124.63</v>
      </c>
      <c r="E32" s="18">
        <v>5.8</v>
      </c>
      <c r="F32" s="18">
        <f>0.825+0.033</f>
        <v>0.858</v>
      </c>
      <c r="G32" s="24">
        <v>22</v>
      </c>
      <c r="H32" s="16">
        <f>C32/C31-1</f>
        <v>0.217314487632509</v>
      </c>
      <c r="I32" s="16">
        <f>(E32+G32-C32)/C32</f>
        <v>-0.798258345428157</v>
      </c>
      <c r="J32" s="16">
        <f>AVERAGE(I29:I32)</f>
        <v>-0.841004909747926</v>
      </c>
      <c r="K32" s="12">
        <v>-0.8098591549295771</v>
      </c>
    </row>
    <row r="33" ht="20.05" customHeight="1">
      <c r="B33" s="33"/>
      <c r="C33" s="34"/>
      <c r="D33" s="24">
        <f>'Model'!C6</f>
        <v>140.556</v>
      </c>
      <c r="E33" s="25"/>
      <c r="F33" s="25"/>
      <c r="G33" s="25"/>
      <c r="H33" s="12"/>
      <c r="I33" s="25"/>
      <c r="J33" s="12"/>
      <c r="K33" s="12">
        <f>'Model'!C7</f>
        <v>-0.798258345428157</v>
      </c>
    </row>
    <row r="34" ht="20.05" customHeight="1">
      <c r="B34" s="33"/>
      <c r="C34" s="34"/>
      <c r="D34" s="24">
        <f>'Model'!D6</f>
        <v>143.36712</v>
      </c>
      <c r="E34" s="25"/>
      <c r="F34" s="25"/>
      <c r="G34" s="25"/>
      <c r="H34" s="12"/>
      <c r="I34" s="12"/>
      <c r="J34" s="12"/>
      <c r="K34" s="12"/>
    </row>
    <row r="35" ht="20.05" customHeight="1">
      <c r="B35" s="33"/>
      <c r="C35" s="34"/>
      <c r="D35" s="24">
        <f>'Model'!E6</f>
        <v>153.4028184</v>
      </c>
      <c r="E35" s="35">
        <f>SUM(C22:C32)</f>
        <v>1241</v>
      </c>
      <c r="F35" s="35">
        <f>SUM(D22:D32)</f>
        <v>1285.8642</v>
      </c>
      <c r="G35" s="25"/>
      <c r="H35" s="12"/>
      <c r="I35" s="12"/>
      <c r="J35" s="12"/>
      <c r="K35" s="12"/>
    </row>
    <row r="36" ht="20.05" customHeight="1">
      <c r="B36" s="36">
        <v>2023</v>
      </c>
      <c r="C36" s="34"/>
      <c r="D36" s="24">
        <f>'Model'!F6</f>
        <v>151.868790216</v>
      </c>
      <c r="E36" s="25"/>
      <c r="F36" s="25"/>
      <c r="G36" s="25"/>
      <c r="H36" s="12"/>
      <c r="I36" s="12"/>
      <c r="J36" s="12"/>
      <c r="K36" s="12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29688" style="37" customWidth="1"/>
    <col min="2" max="2" width="7.75" style="37" customWidth="1"/>
    <col min="3" max="16" width="9.69531" style="37" customWidth="1"/>
    <col min="17" max="16384" width="16.3516" style="37" customWidth="1"/>
  </cols>
  <sheetData>
    <row r="1" ht="19.2" customHeight="1"/>
    <row r="2" ht="27.65" customHeight="1">
      <c r="B2" t="s" s="2">
        <v>47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5">
        <v>1</v>
      </c>
      <c r="C3" t="s" s="5">
        <v>48</v>
      </c>
      <c r="D3" t="s" s="5">
        <v>49</v>
      </c>
      <c r="E3" t="s" s="5">
        <v>50</v>
      </c>
      <c r="F3" t="s" s="5">
        <v>51</v>
      </c>
      <c r="G3" t="s" s="5">
        <v>52</v>
      </c>
      <c r="H3" t="s" s="5">
        <v>14</v>
      </c>
      <c r="I3" t="s" s="5">
        <v>10</v>
      </c>
      <c r="J3" t="s" s="5">
        <v>53</v>
      </c>
      <c r="K3" t="s" s="5">
        <v>54</v>
      </c>
      <c r="L3" t="s" s="5">
        <v>3</v>
      </c>
      <c r="M3" t="s" s="5">
        <v>35</v>
      </c>
      <c r="N3" t="s" s="5">
        <v>55</v>
      </c>
      <c r="O3" t="s" s="5">
        <v>35</v>
      </c>
      <c r="P3" s="38"/>
    </row>
    <row r="4" ht="20.25" customHeight="1">
      <c r="B4" s="28">
        <v>2015</v>
      </c>
      <c r="C4" s="39">
        <v>154.6</v>
      </c>
      <c r="D4" s="40">
        <v>0</v>
      </c>
      <c r="E4" s="40">
        <v>-55</v>
      </c>
      <c r="F4" s="40">
        <v>-0.7</v>
      </c>
      <c r="G4" s="40"/>
      <c r="H4" s="40"/>
      <c r="I4" s="40">
        <v>74</v>
      </c>
      <c r="J4" s="41"/>
      <c r="K4" s="40">
        <f>D4+E4+F4</f>
        <v>-55.7</v>
      </c>
      <c r="L4" s="41"/>
      <c r="M4" s="40"/>
      <c r="N4" s="40">
        <f>-I4</f>
        <v>-74</v>
      </c>
      <c r="O4" s="40"/>
      <c r="P4" s="40">
        <v>1</v>
      </c>
    </row>
    <row r="5" ht="20.05" customHeight="1">
      <c r="B5" s="33"/>
      <c r="C5" s="17">
        <v>299.4</v>
      </c>
      <c r="D5" s="18">
        <v>0</v>
      </c>
      <c r="E5" s="18">
        <v>81</v>
      </c>
      <c r="F5" s="18">
        <v>2.7</v>
      </c>
      <c r="G5" s="18"/>
      <c r="H5" s="18"/>
      <c r="I5" s="18">
        <v>-86</v>
      </c>
      <c r="J5" s="24"/>
      <c r="K5" s="18">
        <f>D5+E5+F5</f>
        <v>83.7</v>
      </c>
      <c r="L5" s="24"/>
      <c r="M5" s="18"/>
      <c r="N5" s="18">
        <f>-I5+N4</f>
        <v>12</v>
      </c>
      <c r="O5" s="18"/>
      <c r="P5" s="18">
        <f>1+P4</f>
        <v>2</v>
      </c>
    </row>
    <row r="6" ht="20.05" customHeight="1">
      <c r="B6" s="33"/>
      <c r="C6" s="17">
        <v>-64</v>
      </c>
      <c r="D6" s="18">
        <v>0</v>
      </c>
      <c r="E6" s="18">
        <v>-56</v>
      </c>
      <c r="F6" s="18">
        <v>0</v>
      </c>
      <c r="G6" s="18"/>
      <c r="H6" s="18"/>
      <c r="I6" s="18">
        <v>14</v>
      </c>
      <c r="J6" s="24"/>
      <c r="K6" s="18">
        <f>D6+E6+F6</f>
        <v>-56</v>
      </c>
      <c r="L6" s="24"/>
      <c r="M6" s="18"/>
      <c r="N6" s="18">
        <f>-I6+N5</f>
        <v>-2</v>
      </c>
      <c r="O6" s="18"/>
      <c r="P6" s="18">
        <f>1+P5</f>
        <v>3</v>
      </c>
    </row>
    <row r="7" ht="20.05" customHeight="1">
      <c r="B7" s="33"/>
      <c r="C7" s="17">
        <v>19</v>
      </c>
      <c r="D7" s="18">
        <v>0</v>
      </c>
      <c r="E7" s="18">
        <v>-121</v>
      </c>
      <c r="F7" s="18">
        <v>-21</v>
      </c>
      <c r="G7" s="18"/>
      <c r="H7" s="18"/>
      <c r="I7" s="18">
        <v>169</v>
      </c>
      <c r="J7" s="24"/>
      <c r="K7" s="18">
        <f>D7+E7+F7</f>
        <v>-142</v>
      </c>
      <c r="L7" s="24"/>
      <c r="M7" s="18"/>
      <c r="N7" s="18">
        <f>-I7+N6</f>
        <v>-171</v>
      </c>
      <c r="O7" s="18"/>
      <c r="P7" s="18">
        <f>1+P6</f>
        <v>4</v>
      </c>
    </row>
    <row r="8" ht="20.05" customHeight="1">
      <c r="B8" s="36">
        <v>2016</v>
      </c>
      <c r="C8" s="17">
        <v>428</v>
      </c>
      <c r="D8" s="18">
        <v>-10.5</v>
      </c>
      <c r="E8" s="18">
        <v>57</v>
      </c>
      <c r="F8" s="18">
        <v>1</v>
      </c>
      <c r="G8" s="18"/>
      <c r="H8" s="18"/>
      <c r="I8" s="18">
        <v>-63</v>
      </c>
      <c r="J8" s="24"/>
      <c r="K8" s="18">
        <f>D8+E8+F8</f>
        <v>47.5</v>
      </c>
      <c r="L8" s="18">
        <f>AVERAGE(K5:K8)</f>
        <v>-16.7</v>
      </c>
      <c r="M8" s="18"/>
      <c r="N8" s="18">
        <f>-I8+N7</f>
        <v>-108</v>
      </c>
      <c r="O8" s="18"/>
      <c r="P8" s="18">
        <f>1+P7</f>
        <v>5</v>
      </c>
    </row>
    <row r="9" ht="20.05" customHeight="1">
      <c r="B9" s="33"/>
      <c r="C9" s="17">
        <v>40</v>
      </c>
      <c r="D9" s="18">
        <v>-10.6</v>
      </c>
      <c r="E9" s="18">
        <v>80</v>
      </c>
      <c r="F9" s="18">
        <v>1</v>
      </c>
      <c r="G9" s="18"/>
      <c r="H9" s="18"/>
      <c r="I9" s="18">
        <v>61</v>
      </c>
      <c r="J9" s="24"/>
      <c r="K9" s="18">
        <f>D9+E9+F9</f>
        <v>70.40000000000001</v>
      </c>
      <c r="L9" s="18">
        <f>AVERAGE(K6:K9)</f>
        <v>-20.025</v>
      </c>
      <c r="M9" s="18"/>
      <c r="N9" s="18">
        <f>-I9+N8</f>
        <v>-169</v>
      </c>
      <c r="O9" s="18"/>
      <c r="P9" s="18">
        <f>1+P8</f>
        <v>6</v>
      </c>
    </row>
    <row r="10" ht="20.05" customHeight="1">
      <c r="B10" s="33"/>
      <c r="C10" s="17">
        <v>-315</v>
      </c>
      <c r="D10" s="18">
        <v>-11.3</v>
      </c>
      <c r="E10" s="18">
        <v>-37</v>
      </c>
      <c r="F10" s="18">
        <v>5</v>
      </c>
      <c r="G10" s="18"/>
      <c r="H10" s="18"/>
      <c r="I10" s="18">
        <v>-137</v>
      </c>
      <c r="J10" s="24"/>
      <c r="K10" s="18">
        <f>D10+E10+F10</f>
        <v>-43.3</v>
      </c>
      <c r="L10" s="18">
        <f>AVERAGE(K7:K10)</f>
        <v>-16.85</v>
      </c>
      <c r="M10" s="18"/>
      <c r="N10" s="18">
        <f>-I10+N9</f>
        <v>-32</v>
      </c>
      <c r="O10" s="18"/>
      <c r="P10" s="18">
        <f>1+P9</f>
        <v>7</v>
      </c>
    </row>
    <row r="11" ht="20.05" customHeight="1">
      <c r="B11" s="33"/>
      <c r="C11" s="17">
        <v>1183</v>
      </c>
      <c r="D11" s="18">
        <v>-11.4</v>
      </c>
      <c r="E11" s="18">
        <v>96</v>
      </c>
      <c r="F11" s="18">
        <v>-14</v>
      </c>
      <c r="G11" s="18"/>
      <c r="H11" s="18"/>
      <c r="I11" s="18">
        <v>70</v>
      </c>
      <c r="J11" s="24"/>
      <c r="K11" s="18">
        <f>D11+E11+F11</f>
        <v>70.59999999999999</v>
      </c>
      <c r="L11" s="18">
        <f>AVERAGE(K8:K11)</f>
        <v>36.3</v>
      </c>
      <c r="M11" s="18"/>
      <c r="N11" s="18">
        <f>-I11+N10</f>
        <v>-102</v>
      </c>
      <c r="O11" s="18"/>
      <c r="P11" s="18">
        <f>1+P10</f>
        <v>8</v>
      </c>
    </row>
    <row r="12" ht="20.05" customHeight="1">
      <c r="B12" s="36">
        <v>2017</v>
      </c>
      <c r="C12" s="17">
        <v>-116</v>
      </c>
      <c r="D12" s="18">
        <v>-9</v>
      </c>
      <c r="E12" s="18">
        <v>136</v>
      </c>
      <c r="F12" s="18">
        <v>2</v>
      </c>
      <c r="G12" s="18"/>
      <c r="H12" s="18"/>
      <c r="I12" s="18">
        <v>83</v>
      </c>
      <c r="J12" s="24"/>
      <c r="K12" s="18">
        <f>D12+E12+F12</f>
        <v>129</v>
      </c>
      <c r="L12" s="18">
        <f>AVERAGE(K9:K12)</f>
        <v>56.675</v>
      </c>
      <c r="M12" s="18"/>
      <c r="N12" s="18">
        <f>-I12+N11</f>
        <v>-185</v>
      </c>
      <c r="O12" s="18"/>
      <c r="P12" s="18">
        <f>1+P11</f>
        <v>9</v>
      </c>
    </row>
    <row r="13" ht="20.05" customHeight="1">
      <c r="B13" s="33"/>
      <c r="C13" s="17">
        <v>469</v>
      </c>
      <c r="D13" s="18">
        <v>-8.800000000000001</v>
      </c>
      <c r="E13" s="18">
        <v>-39</v>
      </c>
      <c r="F13" s="18">
        <v>0</v>
      </c>
      <c r="G13" s="18"/>
      <c r="H13" s="18"/>
      <c r="I13" s="18">
        <v>-138</v>
      </c>
      <c r="J13" s="24"/>
      <c r="K13" s="18">
        <f>D13+E13+F13</f>
        <v>-47.8</v>
      </c>
      <c r="L13" s="18">
        <f>AVERAGE(K10:K13)</f>
        <v>27.125</v>
      </c>
      <c r="M13" s="18"/>
      <c r="N13" s="18">
        <f>-I13+N12</f>
        <v>-47</v>
      </c>
      <c r="O13" s="18"/>
      <c r="P13" s="18">
        <f>1+P12</f>
        <v>10</v>
      </c>
    </row>
    <row r="14" ht="20.05" customHeight="1">
      <c r="B14" s="33"/>
      <c r="C14" s="17">
        <v>-44</v>
      </c>
      <c r="D14" s="18">
        <v>-12.1</v>
      </c>
      <c r="E14" s="18">
        <v>-104</v>
      </c>
      <c r="F14" s="18">
        <v>5</v>
      </c>
      <c r="G14" s="18"/>
      <c r="H14" s="18"/>
      <c r="I14" s="18">
        <v>50</v>
      </c>
      <c r="J14" s="24"/>
      <c r="K14" s="18">
        <f>D14+E14+F14</f>
        <v>-111.1</v>
      </c>
      <c r="L14" s="18">
        <f>AVERAGE(K11:K14)</f>
        <v>10.175</v>
      </c>
      <c r="M14" s="18"/>
      <c r="N14" s="18">
        <f>-I14+N13</f>
        <v>-97</v>
      </c>
      <c r="O14" s="18"/>
      <c r="P14" s="18">
        <f>1+P13</f>
        <v>11</v>
      </c>
    </row>
    <row r="15" ht="20.05" customHeight="1">
      <c r="B15" s="33"/>
      <c r="C15" s="17">
        <v>405</v>
      </c>
      <c r="D15" s="18">
        <v>-13.6</v>
      </c>
      <c r="E15" s="18">
        <v>-30</v>
      </c>
      <c r="F15" s="18">
        <v>4</v>
      </c>
      <c r="G15" s="18"/>
      <c r="H15" s="18"/>
      <c r="I15" s="18">
        <v>159</v>
      </c>
      <c r="J15" s="24"/>
      <c r="K15" s="18">
        <f>D15+E15+F15</f>
        <v>-39.6</v>
      </c>
      <c r="L15" s="18">
        <f>AVERAGE(K12:K15)</f>
        <v>-17.375</v>
      </c>
      <c r="M15" s="18"/>
      <c r="N15" s="18">
        <f>-I15+N14</f>
        <v>-256</v>
      </c>
      <c r="O15" s="18"/>
      <c r="P15" s="18">
        <f>1+P14</f>
        <v>12</v>
      </c>
    </row>
    <row r="16" ht="20.05" customHeight="1">
      <c r="B16" s="36">
        <v>2018</v>
      </c>
      <c r="C16" s="17">
        <v>126.8</v>
      </c>
      <c r="D16" s="18">
        <v>-12.8</v>
      </c>
      <c r="E16" s="18">
        <v>-83</v>
      </c>
      <c r="F16" s="18">
        <v>3</v>
      </c>
      <c r="G16" s="18"/>
      <c r="H16" s="18"/>
      <c r="I16" s="18">
        <v>-5</v>
      </c>
      <c r="J16" s="24"/>
      <c r="K16" s="18">
        <f>D16+E16+F16</f>
        <v>-92.8</v>
      </c>
      <c r="L16" s="18">
        <f>AVERAGE(K13:K16)</f>
        <v>-72.825</v>
      </c>
      <c r="M16" s="18"/>
      <c r="N16" s="18">
        <f>-I16+N15</f>
        <v>-251</v>
      </c>
      <c r="O16" s="18"/>
      <c r="P16" s="18">
        <f>1+P15</f>
        <v>13</v>
      </c>
    </row>
    <row r="17" ht="20.05" customHeight="1">
      <c r="B17" s="33"/>
      <c r="C17" s="17">
        <v>186.2</v>
      </c>
      <c r="D17" s="18">
        <v>-43</v>
      </c>
      <c r="E17" s="18">
        <v>-111</v>
      </c>
      <c r="F17" s="18">
        <v>3</v>
      </c>
      <c r="G17" s="18"/>
      <c r="H17" s="18"/>
      <c r="I17" s="18">
        <v>143</v>
      </c>
      <c r="J17" s="24"/>
      <c r="K17" s="18">
        <f>D17+E17+F17</f>
        <v>-151</v>
      </c>
      <c r="L17" s="18">
        <f>AVERAGE(K14:K17)</f>
        <v>-98.625</v>
      </c>
      <c r="M17" s="18"/>
      <c r="N17" s="18">
        <f>-I17+N16</f>
        <v>-394</v>
      </c>
      <c r="O17" s="18"/>
      <c r="P17" s="18">
        <f>1+P16</f>
        <v>14</v>
      </c>
    </row>
    <row r="18" ht="20.05" customHeight="1">
      <c r="B18" s="33"/>
      <c r="C18" s="17">
        <v>49</v>
      </c>
      <c r="D18" s="18">
        <v>16.5</v>
      </c>
      <c r="E18" s="18">
        <v>-34</v>
      </c>
      <c r="F18" s="18">
        <v>3</v>
      </c>
      <c r="G18" s="18"/>
      <c r="H18" s="18"/>
      <c r="I18" s="18">
        <v>-69</v>
      </c>
      <c r="J18" s="24"/>
      <c r="K18" s="18">
        <f>D18+E18+F18</f>
        <v>-14.5</v>
      </c>
      <c r="L18" s="18">
        <f>AVERAGE(K15:K18)</f>
        <v>-74.47499999999999</v>
      </c>
      <c r="M18" s="18"/>
      <c r="N18" s="18">
        <f>-I18+N17</f>
        <v>-325</v>
      </c>
      <c r="O18" s="18"/>
      <c r="P18" s="18">
        <f>1+P17</f>
        <v>15</v>
      </c>
    </row>
    <row r="19" ht="20.05" customHeight="1">
      <c r="B19" s="33"/>
      <c r="C19" s="17">
        <v>794</v>
      </c>
      <c r="D19" s="18">
        <v>29.5</v>
      </c>
      <c r="E19" s="18">
        <v>-10</v>
      </c>
      <c r="F19" s="18">
        <v>3</v>
      </c>
      <c r="G19" s="18"/>
      <c r="H19" s="18"/>
      <c r="I19" s="18">
        <v>5</v>
      </c>
      <c r="J19" s="24"/>
      <c r="K19" s="18">
        <f>D19+E19+F19</f>
        <v>22.5</v>
      </c>
      <c r="L19" s="18">
        <f>AVERAGE(K16:K19)</f>
        <v>-58.95</v>
      </c>
      <c r="M19" s="18"/>
      <c r="N19" s="18">
        <f>-I19+N18</f>
        <v>-330</v>
      </c>
      <c r="O19" s="18"/>
      <c r="P19" s="18">
        <f>1+P18</f>
        <v>16</v>
      </c>
    </row>
    <row r="20" ht="20.05" customHeight="1">
      <c r="B20" s="36">
        <v>2019</v>
      </c>
      <c r="C20" s="17">
        <v>1031</v>
      </c>
      <c r="D20" s="18">
        <v>-9.800000000000001</v>
      </c>
      <c r="E20" s="18">
        <v>351</v>
      </c>
      <c r="F20" s="18">
        <v>4</v>
      </c>
      <c r="G20" s="18"/>
      <c r="H20" s="18"/>
      <c r="I20" s="18">
        <v>-299</v>
      </c>
      <c r="J20" s="24"/>
      <c r="K20" s="18">
        <f>D20+E20+F20</f>
        <v>345.2</v>
      </c>
      <c r="L20" s="18">
        <f>AVERAGE(K17:K20)</f>
        <v>50.55</v>
      </c>
      <c r="M20" s="18"/>
      <c r="N20" s="18">
        <f>-I20+N19</f>
        <v>-31</v>
      </c>
      <c r="O20" s="18"/>
      <c r="P20" s="18">
        <f>1+P19</f>
        <v>17</v>
      </c>
    </row>
    <row r="21" ht="20.05" customHeight="1">
      <c r="B21" s="33"/>
      <c r="C21" s="17">
        <v>199</v>
      </c>
      <c r="D21" s="18">
        <v>-14.8</v>
      </c>
      <c r="E21" s="18">
        <v>-64</v>
      </c>
      <c r="F21" s="18">
        <v>6</v>
      </c>
      <c r="G21" s="18"/>
      <c r="H21" s="18"/>
      <c r="I21" s="18">
        <v>175</v>
      </c>
      <c r="J21" s="24"/>
      <c r="K21" s="18">
        <f>D21+E21+F21</f>
        <v>-72.8</v>
      </c>
      <c r="L21" s="18">
        <f>AVERAGE(K18:K21)</f>
        <v>70.09999999999999</v>
      </c>
      <c r="M21" s="18"/>
      <c r="N21" s="18">
        <f>-I21+N20</f>
        <v>-206</v>
      </c>
      <c r="O21" s="18"/>
      <c r="P21" s="18">
        <f>1+P20</f>
        <v>18</v>
      </c>
    </row>
    <row r="22" ht="20.05" customHeight="1">
      <c r="B22" s="33"/>
      <c r="C22" s="17">
        <v>-3</v>
      </c>
      <c r="D22" s="18">
        <v>-14.8</v>
      </c>
      <c r="E22" s="18">
        <v>-184</v>
      </c>
      <c r="F22" s="18">
        <v>5</v>
      </c>
      <c r="G22" s="18"/>
      <c r="H22" s="18"/>
      <c r="I22" s="18">
        <v>89</v>
      </c>
      <c r="J22" s="24"/>
      <c r="K22" s="18">
        <f>D22+E22+F22</f>
        <v>-193.8</v>
      </c>
      <c r="L22" s="18">
        <f>AVERAGE(K19:K22)</f>
        <v>25.275</v>
      </c>
      <c r="M22" s="18"/>
      <c r="N22" s="18">
        <f>-I22+N21</f>
        <v>-295</v>
      </c>
      <c r="O22" s="18"/>
      <c r="P22" s="18">
        <f>1+P21</f>
        <v>19</v>
      </c>
    </row>
    <row r="23" ht="20.05" customHeight="1">
      <c r="B23" s="33"/>
      <c r="C23" s="17">
        <v>-1334.1</v>
      </c>
      <c r="D23" s="18">
        <v>-17.2</v>
      </c>
      <c r="E23" s="18">
        <v>80.07299999999999</v>
      </c>
      <c r="F23" s="18">
        <v>3.412</v>
      </c>
      <c r="G23" s="18"/>
      <c r="H23" s="18"/>
      <c r="I23" s="18">
        <v>-66.40000000000001</v>
      </c>
      <c r="J23" s="24"/>
      <c r="K23" s="18">
        <f>D23+E23+F23</f>
        <v>66.285</v>
      </c>
      <c r="L23" s="18">
        <f>AVERAGE(K20:K23)</f>
        <v>36.22125</v>
      </c>
      <c r="M23" s="18"/>
      <c r="N23" s="18">
        <f>-I23+N22</f>
        <v>-228.6</v>
      </c>
      <c r="O23" s="18"/>
      <c r="P23" s="18">
        <f>1+P22</f>
        <v>20</v>
      </c>
    </row>
    <row r="24" ht="20.05" customHeight="1">
      <c r="B24" s="36">
        <v>2020</v>
      </c>
      <c r="C24" s="17">
        <v>235</v>
      </c>
      <c r="D24" s="18">
        <v>-12.4</v>
      </c>
      <c r="E24" s="18">
        <v>232</v>
      </c>
      <c r="F24" s="18">
        <v>12</v>
      </c>
      <c r="G24" s="18">
        <f>I24-J24-D24</f>
        <v>-92.59999999999999</v>
      </c>
      <c r="H24" s="18">
        <v>0</v>
      </c>
      <c r="I24" s="18">
        <v>-105</v>
      </c>
      <c r="J24" s="24"/>
      <c r="K24" s="18">
        <f>D24+E24+F24</f>
        <v>231.6</v>
      </c>
      <c r="L24" s="18">
        <f>AVERAGE(K21:K24)</f>
        <v>7.82125</v>
      </c>
      <c r="M24" s="18"/>
      <c r="N24" s="18">
        <f>-I24+N23</f>
        <v>-123.6</v>
      </c>
      <c r="O24" s="18"/>
      <c r="P24" s="18">
        <f>1+P23</f>
        <v>21</v>
      </c>
    </row>
    <row r="25" ht="20.05" customHeight="1">
      <c r="B25" s="33"/>
      <c r="C25" s="17">
        <v>-235</v>
      </c>
      <c r="D25" s="18">
        <v>12.4</v>
      </c>
      <c r="E25" s="18">
        <v>-180.37</v>
      </c>
      <c r="F25" s="18">
        <v>-7.42</v>
      </c>
      <c r="G25" s="18">
        <f>I25-J25-D25</f>
        <v>49.14</v>
      </c>
      <c r="H25" s="18">
        <v>0</v>
      </c>
      <c r="I25" s="18">
        <v>61.54</v>
      </c>
      <c r="J25" s="24"/>
      <c r="K25" s="18">
        <f>D25+E25+F25</f>
        <v>-175.39</v>
      </c>
      <c r="L25" s="18">
        <f>AVERAGE(K22:K25)</f>
        <v>-17.82625</v>
      </c>
      <c r="M25" s="18"/>
      <c r="N25" s="18">
        <f>-I25+N24</f>
        <v>-185.14</v>
      </c>
      <c r="O25" s="18"/>
      <c r="P25" s="18">
        <f>1+P24</f>
        <v>22</v>
      </c>
    </row>
    <row r="26" ht="20.05" customHeight="1">
      <c r="B26" s="33"/>
      <c r="C26" s="17">
        <f>215.15+121.58+93.16+50.79+125.5-SUM(C24,C25)</f>
        <v>606.1799999999999</v>
      </c>
      <c r="D26" s="18">
        <f>-40.31-SUM(D24:D25)</f>
        <v>-40.31</v>
      </c>
      <c r="E26" s="18">
        <f>56.38-SUM(E24,E25)</f>
        <v>4.75</v>
      </c>
      <c r="F26" s="18">
        <f>8.51-SUM(F24:F25)</f>
        <v>3.93</v>
      </c>
      <c r="G26" s="18">
        <f>I26-J26-D26</f>
        <v>93.3</v>
      </c>
      <c r="H26" s="18">
        <v>0</v>
      </c>
      <c r="I26" s="18">
        <f>-118.41-SUM(I23:I24)</f>
        <v>52.99</v>
      </c>
      <c r="J26" s="24"/>
      <c r="K26" s="18">
        <f>D26+E26+F26</f>
        <v>-31.63</v>
      </c>
      <c r="L26" s="18">
        <f>AVERAGE(K23:K26)</f>
        <v>22.71625</v>
      </c>
      <c r="M26" s="18"/>
      <c r="N26" s="18">
        <f>-I26+N25</f>
        <v>-238.13</v>
      </c>
      <c r="O26" s="18"/>
      <c r="P26" s="18">
        <f>1+P25</f>
        <v>23</v>
      </c>
    </row>
    <row r="27" ht="20.05" customHeight="1">
      <c r="B27" s="33"/>
      <c r="C27" s="17">
        <f>253.7+161.6+122.6+85.6+113.4+61.9-SUM(C24:C26)</f>
        <v>192.62</v>
      </c>
      <c r="D27" s="18">
        <f>-55.1-SUM(D24:D26)</f>
        <v>-14.79</v>
      </c>
      <c r="E27" s="18">
        <f>167.5-SUM(E24:E26)</f>
        <v>111.12</v>
      </c>
      <c r="F27" s="18">
        <f>12.8-SUM(F24:F26)</f>
        <v>4.29</v>
      </c>
      <c r="G27" s="18">
        <f>I27-J27-D27</f>
        <v>-101.84</v>
      </c>
      <c r="H27" s="18">
        <v>0</v>
      </c>
      <c r="I27" s="18">
        <f>-107.1-SUM(I24:I26)</f>
        <v>-116.63</v>
      </c>
      <c r="J27" s="24"/>
      <c r="K27" s="18">
        <f>D27+E27+F27</f>
        <v>100.62</v>
      </c>
      <c r="L27" s="18">
        <f>AVERAGE(K24:K27)</f>
        <v>31.3</v>
      </c>
      <c r="M27" s="18"/>
      <c r="N27" s="18">
        <f>-I27+N26</f>
        <v>-121.5</v>
      </c>
      <c r="O27" s="18"/>
      <c r="P27" s="18">
        <f>1+P26</f>
        <v>24</v>
      </c>
    </row>
    <row r="28" ht="20.05" customHeight="1">
      <c r="B28" s="36">
        <v>2021</v>
      </c>
      <c r="C28" s="17">
        <f>195.3+37.7+35+34.7</f>
        <v>302.7</v>
      </c>
      <c r="D28" s="18">
        <v>-11.3</v>
      </c>
      <c r="E28" s="18">
        <v>170.8</v>
      </c>
      <c r="F28" s="18">
        <v>2</v>
      </c>
      <c r="G28" s="18">
        <f>I28-J28-D28</f>
        <v>-51.5</v>
      </c>
      <c r="H28" s="18">
        <v>0</v>
      </c>
      <c r="I28" s="18">
        <v>-65.2</v>
      </c>
      <c r="J28" s="18">
        <v>-2.4</v>
      </c>
      <c r="K28" s="18">
        <f>D28+E28+J28+F28</f>
        <v>159.1</v>
      </c>
      <c r="L28" s="18">
        <f>AVERAGE(K25:K28)</f>
        <v>13.175</v>
      </c>
      <c r="M28" s="18"/>
      <c r="N28" s="18">
        <f>-I28+N27</f>
        <v>-56.3</v>
      </c>
      <c r="O28" s="18"/>
      <c r="P28" s="18">
        <f>1+P27</f>
        <v>25</v>
      </c>
    </row>
    <row r="29" ht="20.05" customHeight="1">
      <c r="B29" s="33"/>
      <c r="C29" s="17">
        <f>219.3+60.1+59.1+86.2-C28</f>
        <v>122</v>
      </c>
      <c r="D29" s="18">
        <f>-25.2-D28</f>
        <v>-13.9</v>
      </c>
      <c r="E29" s="18">
        <f>241.8-E28</f>
        <v>71</v>
      </c>
      <c r="F29" s="18">
        <f>5.4-F28</f>
        <v>3.4</v>
      </c>
      <c r="G29" s="18">
        <f>I29-J29-D29</f>
        <v>-75.8</v>
      </c>
      <c r="H29" s="18">
        <v>0</v>
      </c>
      <c r="I29" s="18">
        <f>-157.2-I28</f>
        <v>-92</v>
      </c>
      <c r="J29" s="18">
        <f>-4.7-J28</f>
        <v>-2.3</v>
      </c>
      <c r="K29" s="18">
        <f>D29+E29+J29+F29</f>
        <v>58.2</v>
      </c>
      <c r="L29" s="18">
        <f>AVERAGE(K26:K29)</f>
        <v>71.57250000000001</v>
      </c>
      <c r="M29" s="18"/>
      <c r="N29" s="18">
        <f>-I29+N28</f>
        <v>35.7</v>
      </c>
      <c r="O29" s="18"/>
      <c r="P29" s="18">
        <f>1+P28</f>
        <v>26</v>
      </c>
    </row>
    <row r="30" ht="20.05" customHeight="1">
      <c r="B30" s="33"/>
      <c r="C30" s="17">
        <f>225.8+132.1+96.9+79-SUM(C28:C29)</f>
        <v>109.1</v>
      </c>
      <c r="D30" s="18">
        <f>-38.7-SUM(D28:D29)</f>
        <v>-13.5</v>
      </c>
      <c r="E30" s="18">
        <f>293.7-SUM(E28:E29)</f>
        <v>51.9</v>
      </c>
      <c r="F30" s="18">
        <f>5-SUM(F28:F29)</f>
        <v>-0.4</v>
      </c>
      <c r="G30" s="18">
        <f>I30-J30-D30</f>
        <v>-27.2</v>
      </c>
      <c r="H30" s="18">
        <v>0</v>
      </c>
      <c r="I30" s="18">
        <f>-199.7-SUM(I28:I29)</f>
        <v>-42.5</v>
      </c>
      <c r="J30" s="18">
        <f>-6.5-SUM(J28:J29)</f>
        <v>-1.8</v>
      </c>
      <c r="K30" s="18">
        <f>D30+E30+J30+F30</f>
        <v>36.2</v>
      </c>
      <c r="L30" s="18">
        <f>AVERAGE(K27:K30)</f>
        <v>88.53</v>
      </c>
      <c r="M30" s="18"/>
      <c r="N30" s="18">
        <f>-I30+N29</f>
        <v>78.2</v>
      </c>
      <c r="O30" s="18"/>
      <c r="P30" s="18">
        <f>1+P29</f>
        <v>27</v>
      </c>
    </row>
    <row r="31" ht="20.05" customHeight="1">
      <c r="B31" s="33"/>
      <c r="C31" s="17">
        <f>184.9+173.7+130.1+94.3-SUM(C28:C30)</f>
        <v>49.2</v>
      </c>
      <c r="D31" s="18">
        <f>-55.4-SUM(D28:D30)</f>
        <v>-16.7</v>
      </c>
      <c r="E31" s="18">
        <f>168-SUM(E28:E30)</f>
        <v>-125.7</v>
      </c>
      <c r="F31" s="18">
        <f>-9.5-SUM(F28:F30)</f>
        <v>-14.5</v>
      </c>
      <c r="G31" s="18">
        <f>I31-J31-D31</f>
        <v>83.5</v>
      </c>
      <c r="H31" s="18">
        <v>0</v>
      </c>
      <c r="I31" s="18">
        <f>-135.2-SUM(I28:I30)</f>
        <v>64.5</v>
      </c>
      <c r="J31" s="18">
        <f>-8.8-SUM(J28:J30)</f>
        <v>-2.3</v>
      </c>
      <c r="K31" s="18">
        <f>D31+E31+J31+F31</f>
        <v>-159.2</v>
      </c>
      <c r="L31" s="18">
        <f>AVERAGE(K28:K31)</f>
        <v>23.575</v>
      </c>
      <c r="M31" s="18"/>
      <c r="N31" s="18">
        <f>-I31+N30</f>
        <v>13.7</v>
      </c>
      <c r="O31" s="18"/>
      <c r="P31" s="18">
        <f>1+P30</f>
        <v>28</v>
      </c>
    </row>
    <row r="32" ht="20.05" customHeight="1">
      <c r="B32" s="36">
        <v>2022</v>
      </c>
      <c r="C32" s="17">
        <v>113.4</v>
      </c>
      <c r="D32" s="18">
        <v>-12.3</v>
      </c>
      <c r="E32" s="18">
        <v>-68.8</v>
      </c>
      <c r="F32" s="18">
        <v>0.2</v>
      </c>
      <c r="G32" s="18">
        <f>I32-J32-D32</f>
        <v>-22.9</v>
      </c>
      <c r="H32" s="18">
        <v>0</v>
      </c>
      <c r="I32" s="18">
        <v>-37.6</v>
      </c>
      <c r="J32" s="18">
        <v>-2.4</v>
      </c>
      <c r="K32" s="18">
        <f>D32+E32+J32+F32</f>
        <v>-83.3</v>
      </c>
      <c r="L32" s="18">
        <f>AVERAGE(K29:K32)</f>
        <v>-37.025</v>
      </c>
      <c r="M32" s="18">
        <v>24.725960935916</v>
      </c>
      <c r="N32" s="18">
        <f>-I32+N31</f>
        <v>51.3</v>
      </c>
      <c r="O32" s="18">
        <v>172.812982048593</v>
      </c>
      <c r="P32" s="18">
        <f>1+P31</f>
        <v>29</v>
      </c>
    </row>
    <row r="33" ht="20.05" customHeight="1">
      <c r="B33" s="33"/>
      <c r="C33" s="17"/>
      <c r="D33" s="18"/>
      <c r="E33" s="18"/>
      <c r="F33" s="18"/>
      <c r="G33" s="18"/>
      <c r="H33" s="18"/>
      <c r="I33" s="18"/>
      <c r="J33" s="18"/>
      <c r="K33" s="18"/>
      <c r="L33" s="25"/>
      <c r="M33" s="20">
        <f>SUM('Model'!F9:F10)</f>
        <v>30.838261016</v>
      </c>
      <c r="N33" s="25"/>
      <c r="O33" s="18">
        <f>'Model'!F33</f>
        <v>170.965119416</v>
      </c>
      <c r="P33" s="18"/>
    </row>
  </sheetData>
  <mergeCells count="1">
    <mergeCell ref="B2:P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3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0.8828" style="42" customWidth="1"/>
    <col min="11" max="16384" width="16.3516" style="42" customWidth="1"/>
  </cols>
  <sheetData>
    <row r="1" ht="27.65" customHeight="1">
      <c r="A1" t="s" s="2">
        <v>22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5">
        <v>1</v>
      </c>
      <c r="B2" t="s" s="5">
        <v>56</v>
      </c>
      <c r="C2" t="s" s="5">
        <v>57</v>
      </c>
      <c r="D2" t="s" s="5">
        <v>58</v>
      </c>
      <c r="E2" t="s" s="5">
        <v>24</v>
      </c>
      <c r="F2" t="s" s="5">
        <v>11</v>
      </c>
      <c r="G2" t="s" s="5">
        <v>26</v>
      </c>
      <c r="H2" t="s" s="5">
        <v>27</v>
      </c>
      <c r="I2" t="s" s="5">
        <v>59</v>
      </c>
      <c r="J2" t="s" s="5">
        <v>35</v>
      </c>
    </row>
    <row r="3" ht="21.1" customHeight="1">
      <c r="A3" s="28">
        <v>2015</v>
      </c>
      <c r="B3" s="39">
        <v>170</v>
      </c>
      <c r="C3" s="40">
        <v>1532</v>
      </c>
      <c r="D3" s="40">
        <f>C3-B3</f>
        <v>1362</v>
      </c>
      <c r="E3" s="40">
        <v>59</v>
      </c>
      <c r="F3" s="40">
        <v>976</v>
      </c>
      <c r="G3" s="40">
        <v>556</v>
      </c>
      <c r="H3" s="40">
        <f>F3+G3-B3-D3</f>
        <v>0</v>
      </c>
      <c r="I3" s="40">
        <f>B3-F3</f>
        <v>-806</v>
      </c>
      <c r="J3" s="40"/>
    </row>
    <row r="4" ht="21.1" customHeight="1">
      <c r="A4" s="33"/>
      <c r="B4" s="17">
        <v>165</v>
      </c>
      <c r="C4" s="18">
        <v>1402</v>
      </c>
      <c r="D4" s="18">
        <f>C4-B4</f>
        <v>1237</v>
      </c>
      <c r="E4" s="18">
        <v>61</v>
      </c>
      <c r="F4" s="18">
        <v>838</v>
      </c>
      <c r="G4" s="18">
        <v>564</v>
      </c>
      <c r="H4" s="18">
        <f>F4+G4-B4-D4</f>
        <v>0</v>
      </c>
      <c r="I4" s="18">
        <f>B4-F4</f>
        <v>-673</v>
      </c>
      <c r="J4" s="18"/>
    </row>
    <row r="5" ht="21.1" customHeight="1">
      <c r="A5" s="33"/>
      <c r="B5" s="17">
        <v>123</v>
      </c>
      <c r="C5" s="18">
        <v>1013</v>
      </c>
      <c r="D5" s="18">
        <f>C5-B5</f>
        <v>890</v>
      </c>
      <c r="E5" s="18">
        <v>62</v>
      </c>
      <c r="F5" s="18">
        <v>447</v>
      </c>
      <c r="G5" s="18">
        <v>566</v>
      </c>
      <c r="H5" s="18">
        <f>F5+G5-B5-D5</f>
        <v>0</v>
      </c>
      <c r="I5" s="18">
        <f>B5-F5</f>
        <v>-324</v>
      </c>
      <c r="J5" s="18"/>
    </row>
    <row r="6" ht="21.1" customHeight="1">
      <c r="A6" s="33"/>
      <c r="B6" s="17">
        <v>151</v>
      </c>
      <c r="C6" s="18">
        <v>1292</v>
      </c>
      <c r="D6" s="18">
        <f>C6-B6</f>
        <v>1141</v>
      </c>
      <c r="E6" s="18">
        <v>64</v>
      </c>
      <c r="F6" s="18">
        <v>699</v>
      </c>
      <c r="G6" s="18">
        <v>593</v>
      </c>
      <c r="H6" s="18">
        <f>F6+G6-B6-D6</f>
        <v>0</v>
      </c>
      <c r="I6" s="18">
        <f>B6-F6</f>
        <v>-548</v>
      </c>
      <c r="J6" s="18"/>
    </row>
    <row r="7" ht="21.1" customHeight="1">
      <c r="A7" s="36">
        <v>2016</v>
      </c>
      <c r="B7" s="17">
        <v>147</v>
      </c>
      <c r="C7" s="18">
        <v>1239</v>
      </c>
      <c r="D7" s="18">
        <f>C7-B7</f>
        <v>1092</v>
      </c>
      <c r="E7" s="18">
        <v>66</v>
      </c>
      <c r="F7" s="18">
        <v>634</v>
      </c>
      <c r="G7" s="18">
        <v>605</v>
      </c>
      <c r="H7" s="18">
        <f>F7+G7-B7-D7</f>
        <v>0</v>
      </c>
      <c r="I7" s="18">
        <f>B7-F7</f>
        <v>-487</v>
      </c>
      <c r="J7" s="18"/>
    </row>
    <row r="8" ht="20.9" customHeight="1">
      <c r="A8" s="33"/>
      <c r="B8" s="17">
        <v>289</v>
      </c>
      <c r="C8" s="18">
        <v>1529</v>
      </c>
      <c r="D8" s="18">
        <f>C8-B8</f>
        <v>1240</v>
      </c>
      <c r="E8" s="18">
        <v>68</v>
      </c>
      <c r="F8" s="18">
        <v>913</v>
      </c>
      <c r="G8" s="18">
        <v>616</v>
      </c>
      <c r="H8" s="18">
        <f>F8+G8-B8-D8</f>
        <v>0</v>
      </c>
      <c r="I8" s="18">
        <f>B8-F8</f>
        <v>-624</v>
      </c>
      <c r="J8" s="18"/>
    </row>
    <row r="9" ht="20.9" customHeight="1">
      <c r="A9" s="33"/>
      <c r="B9" s="17">
        <v>119</v>
      </c>
      <c r="C9" s="18">
        <v>1479</v>
      </c>
      <c r="D9" s="18">
        <f>C9-B9</f>
        <v>1360</v>
      </c>
      <c r="E9" s="18">
        <v>70</v>
      </c>
      <c r="F9" s="18">
        <v>850</v>
      </c>
      <c r="G9" s="18">
        <v>628</v>
      </c>
      <c r="H9" s="18">
        <f>F9+G9-B9-D9</f>
        <v>-1</v>
      </c>
      <c r="I9" s="18">
        <f>B9-F9</f>
        <v>-731</v>
      </c>
      <c r="J9" s="18"/>
    </row>
    <row r="10" ht="20.9" customHeight="1">
      <c r="A10" s="33"/>
      <c r="B10" s="17">
        <v>271</v>
      </c>
      <c r="C10" s="18">
        <v>1570</v>
      </c>
      <c r="D10" s="18">
        <f>C10-B10</f>
        <v>1299</v>
      </c>
      <c r="E10" s="18">
        <v>71</v>
      </c>
      <c r="F10" s="18">
        <v>930</v>
      </c>
      <c r="G10" s="18">
        <v>640</v>
      </c>
      <c r="H10" s="18">
        <f>F10+G10-B10-D10</f>
        <v>0</v>
      </c>
      <c r="I10" s="18">
        <f>B10-F10</f>
        <v>-659</v>
      </c>
      <c r="J10" s="18"/>
    </row>
    <row r="11" ht="20.9" customHeight="1">
      <c r="A11" s="36">
        <v>2017</v>
      </c>
      <c r="B11" s="17">
        <v>492</v>
      </c>
      <c r="C11" s="18">
        <v>1536</v>
      </c>
      <c r="D11" s="18">
        <f>C11-B11</f>
        <v>1044</v>
      </c>
      <c r="E11" s="18">
        <v>72</v>
      </c>
      <c r="F11" s="18">
        <v>883</v>
      </c>
      <c r="G11" s="18">
        <v>653</v>
      </c>
      <c r="H11" s="18">
        <f>F11+G11-B11-D11</f>
        <v>0</v>
      </c>
      <c r="I11" s="18">
        <f>B11-F11</f>
        <v>-391</v>
      </c>
      <c r="J11" s="18"/>
    </row>
    <row r="12" ht="20.9" customHeight="1">
      <c r="A12" s="33"/>
      <c r="B12" s="17">
        <v>315</v>
      </c>
      <c r="C12" s="18">
        <v>1387</v>
      </c>
      <c r="D12" s="18">
        <f>C12-B12</f>
        <v>1072</v>
      </c>
      <c r="E12" s="18">
        <v>73</v>
      </c>
      <c r="F12" s="18">
        <v>722</v>
      </c>
      <c r="G12" s="18">
        <v>665</v>
      </c>
      <c r="H12" s="18">
        <f>F12+G12-B12-D12</f>
        <v>0</v>
      </c>
      <c r="I12" s="18">
        <f>B12-F12</f>
        <v>-407</v>
      </c>
      <c r="J12" s="18"/>
    </row>
    <row r="13" ht="20.9" customHeight="1">
      <c r="A13" s="33"/>
      <c r="B13" s="17">
        <v>265</v>
      </c>
      <c r="C13" s="18">
        <v>1521</v>
      </c>
      <c r="D13" s="18">
        <f>C13-B13</f>
        <v>1256</v>
      </c>
      <c r="E13" s="18">
        <v>75</v>
      </c>
      <c r="F13" s="18">
        <v>840</v>
      </c>
      <c r="G13" s="18">
        <v>681</v>
      </c>
      <c r="H13" s="18">
        <f>F13+G13-B13-D13</f>
        <v>0</v>
      </c>
      <c r="I13" s="18">
        <f>B13-F13</f>
        <v>-575</v>
      </c>
      <c r="J13" s="18"/>
    </row>
    <row r="14" ht="20.9" customHeight="1">
      <c r="A14" s="33"/>
      <c r="B14" s="17">
        <v>399</v>
      </c>
      <c r="C14" s="18">
        <v>3183</v>
      </c>
      <c r="D14" s="18">
        <f>C14-B14</f>
        <v>2784</v>
      </c>
      <c r="E14" s="18">
        <v>76</v>
      </c>
      <c r="F14" s="18">
        <v>2487</v>
      </c>
      <c r="G14" s="18">
        <v>697</v>
      </c>
      <c r="H14" s="18">
        <f>F14+G14-B14-D14</f>
        <v>1</v>
      </c>
      <c r="I14" s="18">
        <f>B14-F14</f>
        <v>-2088</v>
      </c>
      <c r="J14" s="18"/>
    </row>
    <row r="15" ht="20.9" customHeight="1">
      <c r="A15" s="36">
        <v>2018</v>
      </c>
      <c r="B15" s="17">
        <v>314</v>
      </c>
      <c r="C15" s="18">
        <v>1669</v>
      </c>
      <c r="D15" s="18">
        <f>C15-B15</f>
        <v>1355</v>
      </c>
      <c r="E15" s="18">
        <v>78</v>
      </c>
      <c r="F15" s="18">
        <v>951</v>
      </c>
      <c r="G15" s="18">
        <v>717</v>
      </c>
      <c r="H15" s="18">
        <f>F15+G15-B15-D15</f>
        <v>-1</v>
      </c>
      <c r="I15" s="18">
        <f>B15-F15</f>
        <v>-637</v>
      </c>
      <c r="J15" s="18"/>
    </row>
    <row r="16" ht="20.9" customHeight="1">
      <c r="A16" s="33"/>
      <c r="B16" s="17">
        <v>349</v>
      </c>
      <c r="C16" s="18">
        <v>1937</v>
      </c>
      <c r="D16" s="18">
        <f>C16-B16</f>
        <v>1588</v>
      </c>
      <c r="E16" s="18">
        <v>80</v>
      </c>
      <c r="F16" s="18">
        <v>1203</v>
      </c>
      <c r="G16" s="18">
        <v>734</v>
      </c>
      <c r="H16" s="18">
        <f>F16+G16-B16-D16</f>
        <v>0</v>
      </c>
      <c r="I16" s="18">
        <f>B16-F16</f>
        <v>-854</v>
      </c>
      <c r="J16" s="18"/>
    </row>
    <row r="17" ht="20.9" customHeight="1">
      <c r="A17" s="33"/>
      <c r="B17" s="17">
        <v>249</v>
      </c>
      <c r="C17" s="18">
        <v>1852</v>
      </c>
      <c r="D17" s="18">
        <f>C17-B17</f>
        <v>1603</v>
      </c>
      <c r="E17" s="18">
        <v>81</v>
      </c>
      <c r="F17" s="18">
        <v>1102</v>
      </c>
      <c r="G17" s="18">
        <v>750</v>
      </c>
      <c r="H17" s="18">
        <f>F17+G17-B17-D17</f>
        <v>0</v>
      </c>
      <c r="I17" s="18">
        <f>B17-F17</f>
        <v>-853</v>
      </c>
      <c r="J17" s="18"/>
    </row>
    <row r="18" ht="20.9" customHeight="1">
      <c r="A18" s="33"/>
      <c r="B18" s="17">
        <v>248</v>
      </c>
      <c r="C18" s="18">
        <v>2672</v>
      </c>
      <c r="D18" s="18">
        <f>C18-B18</f>
        <v>2424</v>
      </c>
      <c r="E18" s="18">
        <v>83</v>
      </c>
      <c r="F18" s="18">
        <v>1880</v>
      </c>
      <c r="G18" s="18">
        <v>792</v>
      </c>
      <c r="H18" s="18">
        <f>F18+G18-B18-D18</f>
        <v>0</v>
      </c>
      <c r="I18" s="18">
        <f>B18-F18</f>
        <v>-1632</v>
      </c>
      <c r="J18" s="18"/>
    </row>
    <row r="19" ht="20.9" customHeight="1">
      <c r="A19" s="36">
        <v>2019</v>
      </c>
      <c r="B19" s="17">
        <v>304</v>
      </c>
      <c r="C19" s="18">
        <v>1496</v>
      </c>
      <c r="D19" s="18">
        <f>C19-B19</f>
        <v>1192</v>
      </c>
      <c r="E19" s="18">
        <v>84</v>
      </c>
      <c r="F19" s="18">
        <v>687</v>
      </c>
      <c r="G19" s="18">
        <v>809</v>
      </c>
      <c r="H19" s="18">
        <f>F19+G19-B19-D19</f>
        <v>0</v>
      </c>
      <c r="I19" s="18">
        <f>B19-F19</f>
        <v>-383</v>
      </c>
      <c r="J19" s="18"/>
    </row>
    <row r="20" ht="20.9" customHeight="1">
      <c r="A20" s="33"/>
      <c r="B20" s="17">
        <v>421</v>
      </c>
      <c r="C20" s="18">
        <v>1680</v>
      </c>
      <c r="D20" s="18">
        <f>C20-B20</f>
        <v>1259</v>
      </c>
      <c r="E20" s="18">
        <v>85.09999999999999</v>
      </c>
      <c r="F20" s="18">
        <v>855</v>
      </c>
      <c r="G20" s="18">
        <v>825</v>
      </c>
      <c r="H20" s="18">
        <f>F20+G20-B20-D20</f>
        <v>0</v>
      </c>
      <c r="I20" s="18">
        <f>B20-F20</f>
        <v>-434</v>
      </c>
      <c r="J20" s="18"/>
    </row>
    <row r="21" ht="20.9" customHeight="1">
      <c r="A21" s="33"/>
      <c r="B21" s="17">
        <v>332</v>
      </c>
      <c r="C21" s="18">
        <v>1748</v>
      </c>
      <c r="D21" s="18">
        <f>C21-B21</f>
        <v>1416</v>
      </c>
      <c r="E21" s="18">
        <v>86</v>
      </c>
      <c r="F21" s="18">
        <v>907</v>
      </c>
      <c r="G21" s="18">
        <v>841</v>
      </c>
      <c r="H21" s="18">
        <f>F21+G21-B21-D21</f>
        <v>0</v>
      </c>
      <c r="I21" s="18">
        <f>B21-F21</f>
        <v>-575</v>
      </c>
      <c r="J21" s="18"/>
    </row>
    <row r="22" ht="20.9" customHeight="1">
      <c r="A22" s="33"/>
      <c r="B22" s="17">
        <v>348</v>
      </c>
      <c r="C22" s="18">
        <v>3051</v>
      </c>
      <c r="D22" s="18">
        <f>C22-B22</f>
        <v>2703</v>
      </c>
      <c r="E22" s="18">
        <f>87+22</f>
        <v>109</v>
      </c>
      <c r="F22" s="18">
        <v>2193</v>
      </c>
      <c r="G22" s="18">
        <v>858</v>
      </c>
      <c r="H22" s="18">
        <f>F22+G22-B22-D22</f>
        <v>0</v>
      </c>
      <c r="I22" s="18">
        <f>B22-F22</f>
        <v>-1845</v>
      </c>
      <c r="J22" s="18"/>
    </row>
    <row r="23" ht="20.9" customHeight="1">
      <c r="A23" s="36">
        <v>2020</v>
      </c>
      <c r="B23" s="17">
        <v>487</v>
      </c>
      <c r="C23" s="18">
        <v>3161</v>
      </c>
      <c r="D23" s="18">
        <f>C23-B23</f>
        <v>2674</v>
      </c>
      <c r="E23" s="18">
        <f>91+23</f>
        <v>114</v>
      </c>
      <c r="F23" s="18">
        <v>2305</v>
      </c>
      <c r="G23" s="18">
        <v>856</v>
      </c>
      <c r="H23" s="18">
        <f>F23+G23-B23-D23</f>
        <v>0</v>
      </c>
      <c r="I23" s="18">
        <f>B23-F23</f>
        <v>-1818</v>
      </c>
      <c r="J23" s="24"/>
    </row>
    <row r="24" ht="20.9" customHeight="1">
      <c r="A24" s="33"/>
      <c r="B24" s="17">
        <v>361</v>
      </c>
      <c r="C24" s="18">
        <v>2425</v>
      </c>
      <c r="D24" s="18">
        <f>C24-B24</f>
        <v>2064</v>
      </c>
      <c r="E24" s="24">
        <f>95+24</f>
        <v>119</v>
      </c>
      <c r="F24" s="18">
        <v>1566</v>
      </c>
      <c r="G24" s="18">
        <v>859</v>
      </c>
      <c r="H24" s="18">
        <f>F24+G24-B24-D24</f>
        <v>0</v>
      </c>
      <c r="I24" s="18">
        <f>B24-F24</f>
        <v>-1205</v>
      </c>
      <c r="J24" s="24"/>
    </row>
    <row r="25" ht="20.9" customHeight="1">
      <c r="A25" s="33"/>
      <c r="B25" s="17">
        <v>294</v>
      </c>
      <c r="C25" s="18">
        <v>2890</v>
      </c>
      <c r="D25" s="18">
        <f>C25-B25</f>
        <v>2596</v>
      </c>
      <c r="E25" s="18">
        <f>25+98</f>
        <v>123</v>
      </c>
      <c r="F25" s="18">
        <v>2057</v>
      </c>
      <c r="G25" s="18">
        <v>833</v>
      </c>
      <c r="H25" s="18">
        <f>F25+G25-B25-D25</f>
        <v>0</v>
      </c>
      <c r="I25" s="18">
        <f>B25-F25</f>
        <v>-1763</v>
      </c>
      <c r="J25" s="24"/>
    </row>
    <row r="26" ht="20.9" customHeight="1">
      <c r="A26" s="33"/>
      <c r="B26" s="23">
        <v>421</v>
      </c>
      <c r="C26" s="18">
        <v>2676</v>
      </c>
      <c r="D26" s="18">
        <f>C26-B26</f>
        <v>2255</v>
      </c>
      <c r="E26" s="24">
        <f>102+26</f>
        <v>128</v>
      </c>
      <c r="F26" s="18">
        <v>1854</v>
      </c>
      <c r="G26" s="18">
        <v>822</v>
      </c>
      <c r="H26" s="18">
        <f>F26+G26-B26-D26</f>
        <v>0</v>
      </c>
      <c r="I26" s="18">
        <f>B26-F26</f>
        <v>-1433</v>
      </c>
      <c r="J26" s="24"/>
    </row>
    <row r="27" ht="20.9" customHeight="1">
      <c r="A27" s="36">
        <v>2021</v>
      </c>
      <c r="B27" s="23">
        <v>529</v>
      </c>
      <c r="C27" s="18">
        <v>3485</v>
      </c>
      <c r="D27" s="18">
        <f>C27-B27</f>
        <v>2956</v>
      </c>
      <c r="E27" s="24">
        <f>106+27</f>
        <v>133</v>
      </c>
      <c r="F27" s="18">
        <v>2644</v>
      </c>
      <c r="G27" s="18">
        <v>841</v>
      </c>
      <c r="H27" s="18">
        <f>F27+G27-B27-D27</f>
        <v>0</v>
      </c>
      <c r="I27" s="18">
        <f>B27-F27</f>
        <v>-2115</v>
      </c>
      <c r="J27" s="18"/>
    </row>
    <row r="28" ht="20.9" customHeight="1">
      <c r="A28" s="33"/>
      <c r="B28" s="23">
        <v>511</v>
      </c>
      <c r="C28" s="18">
        <v>2578</v>
      </c>
      <c r="D28" s="18">
        <f>C28-B28</f>
        <v>2067</v>
      </c>
      <c r="E28" s="24">
        <f>109+29</f>
        <v>138</v>
      </c>
      <c r="F28" s="18">
        <v>1724</v>
      </c>
      <c r="G28" s="18">
        <v>854</v>
      </c>
      <c r="H28" s="18">
        <f>F28+G28-B28-D28</f>
        <v>0</v>
      </c>
      <c r="I28" s="18">
        <f>B28-F28</f>
        <v>-1213</v>
      </c>
      <c r="J28" s="24"/>
    </row>
    <row r="29" ht="20.9" customHeight="1">
      <c r="A29" s="33"/>
      <c r="B29" s="23">
        <v>520</v>
      </c>
      <c r="C29" s="18">
        <v>3157</v>
      </c>
      <c r="D29" s="18">
        <f>C29-B29</f>
        <v>2637</v>
      </c>
      <c r="E29" s="24">
        <f>113+30</f>
        <v>143</v>
      </c>
      <c r="F29" s="18">
        <v>2286</v>
      </c>
      <c r="G29" s="18">
        <v>871</v>
      </c>
      <c r="H29" s="18">
        <f>F29+G29-B29-D29</f>
        <v>0</v>
      </c>
      <c r="I29" s="18">
        <f>B29-F29</f>
        <v>-1766</v>
      </c>
      <c r="J29" s="24"/>
    </row>
    <row r="30" ht="20.9" customHeight="1">
      <c r="A30" s="33"/>
      <c r="B30" s="23">
        <v>444</v>
      </c>
      <c r="C30" s="18">
        <v>1820</v>
      </c>
      <c r="D30" s="18">
        <f>C30-B30</f>
        <v>1376</v>
      </c>
      <c r="E30" s="24">
        <f>109+26</f>
        <v>135</v>
      </c>
      <c r="F30" s="18">
        <v>943</v>
      </c>
      <c r="G30" s="18">
        <v>877</v>
      </c>
      <c r="H30" s="18">
        <f>F30+G30-B30-D30</f>
        <v>0</v>
      </c>
      <c r="I30" s="18">
        <f>B30-F30</f>
        <v>-499</v>
      </c>
      <c r="J30" s="24"/>
    </row>
    <row r="31" ht="20.9" customHeight="1">
      <c r="A31" s="36">
        <v>2022</v>
      </c>
      <c r="B31" s="23">
        <v>338</v>
      </c>
      <c r="C31" s="18">
        <v>2505</v>
      </c>
      <c r="D31" s="18">
        <f>C31-B31</f>
        <v>2167</v>
      </c>
      <c r="E31" s="24">
        <f>92+31</f>
        <v>123</v>
      </c>
      <c r="F31" s="18">
        <v>1606</v>
      </c>
      <c r="G31" s="18">
        <v>899</v>
      </c>
      <c r="H31" s="18">
        <f>F31+G31-B31-D31</f>
        <v>0</v>
      </c>
      <c r="I31" s="18">
        <f>B31-F31</f>
        <v>-1268</v>
      </c>
      <c r="J31" s="18">
        <v>-1694.010912565990</v>
      </c>
    </row>
    <row r="32" ht="20.9" customHeight="1">
      <c r="A32" s="33"/>
      <c r="B32" s="23"/>
      <c r="C32" s="18"/>
      <c r="D32" s="18"/>
      <c r="E32" s="24"/>
      <c r="F32" s="18"/>
      <c r="G32" s="18"/>
      <c r="H32" s="18"/>
      <c r="I32" s="18"/>
      <c r="J32" s="18">
        <f>'Model'!F31</f>
        <v>-1177.0344164088</v>
      </c>
    </row>
  </sheetData>
  <mergeCells count="1">
    <mergeCell ref="A1:J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3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94531" style="43" customWidth="1"/>
    <col min="2" max="2" width="6.86719" style="43" customWidth="1"/>
    <col min="3" max="5" width="8.32031" style="43" customWidth="1"/>
    <col min="6" max="16384" width="16.3516" style="43" customWidth="1"/>
  </cols>
  <sheetData>
    <row r="1" ht="10.95" customHeight="1"/>
    <row r="2" ht="27.65" customHeight="1">
      <c r="B2" t="s" s="2">
        <v>60</v>
      </c>
      <c r="C2" s="2"/>
      <c r="D2" s="2"/>
      <c r="E2" s="2"/>
    </row>
    <row r="3" ht="32.25" customHeight="1">
      <c r="B3" s="4"/>
      <c r="C3" t="s" s="3">
        <v>61</v>
      </c>
      <c r="D3" t="s" s="3">
        <v>38</v>
      </c>
      <c r="E3" t="s" s="3">
        <v>62</v>
      </c>
    </row>
    <row r="4" ht="20.25" customHeight="1">
      <c r="B4" s="28">
        <v>2014</v>
      </c>
      <c r="C4" s="44">
        <v>77</v>
      </c>
      <c r="D4" s="8"/>
      <c r="E4" s="8"/>
    </row>
    <row r="5" ht="20.05" customHeight="1">
      <c r="B5" s="33"/>
      <c r="C5" s="19">
        <v>79</v>
      </c>
      <c r="D5" s="25"/>
      <c r="E5" s="25"/>
    </row>
    <row r="6" ht="20.05" customHeight="1">
      <c r="B6" s="33"/>
      <c r="C6" s="19">
        <v>69</v>
      </c>
      <c r="D6" s="25"/>
      <c r="E6" s="25"/>
    </row>
    <row r="7" ht="20.05" customHeight="1">
      <c r="B7" s="33"/>
      <c r="C7" s="19">
        <v>68</v>
      </c>
      <c r="D7" s="25"/>
      <c r="E7" s="25"/>
    </row>
    <row r="8" ht="20.05" customHeight="1">
      <c r="B8" s="36">
        <v>2015</v>
      </c>
      <c r="C8" s="19">
        <v>59</v>
      </c>
      <c r="D8" s="25"/>
      <c r="E8" s="25"/>
    </row>
    <row r="9" ht="20.05" customHeight="1">
      <c r="B9" s="33"/>
      <c r="C9" s="19">
        <v>57</v>
      </c>
      <c r="D9" s="25"/>
      <c r="E9" s="25"/>
    </row>
    <row r="10" ht="20.05" customHeight="1">
      <c r="B10" s="33"/>
      <c r="C10" s="19">
        <v>54</v>
      </c>
      <c r="D10" s="25"/>
      <c r="E10" s="25"/>
    </row>
    <row r="11" ht="20.05" customHeight="1">
      <c r="B11" s="33"/>
      <c r="C11" s="19">
        <v>51</v>
      </c>
      <c r="D11" s="25"/>
      <c r="E11" s="25"/>
    </row>
    <row r="12" ht="20.05" customHeight="1">
      <c r="B12" s="36">
        <v>2016</v>
      </c>
      <c r="C12" s="19">
        <v>80</v>
      </c>
      <c r="D12" s="25"/>
      <c r="E12" s="25"/>
    </row>
    <row r="13" ht="20.05" customHeight="1">
      <c r="B13" s="33"/>
      <c r="C13" s="19">
        <v>57</v>
      </c>
      <c r="D13" s="25"/>
      <c r="E13" s="25"/>
    </row>
    <row r="14" ht="20.05" customHeight="1">
      <c r="B14" s="33"/>
      <c r="C14" s="19">
        <v>64</v>
      </c>
      <c r="D14" s="25"/>
      <c r="E14" s="25"/>
    </row>
    <row r="15" ht="20.05" customHeight="1">
      <c r="B15" s="33"/>
      <c r="C15" s="19">
        <v>69</v>
      </c>
      <c r="D15" s="25"/>
      <c r="E15" s="25"/>
    </row>
    <row r="16" ht="20.05" customHeight="1">
      <c r="B16" s="36">
        <v>2017</v>
      </c>
      <c r="C16" s="19">
        <v>91</v>
      </c>
      <c r="D16" s="25"/>
      <c r="E16" s="25"/>
    </row>
    <row r="17" ht="20.05" customHeight="1">
      <c r="B17" s="33"/>
      <c r="C17" s="19">
        <v>105</v>
      </c>
      <c r="D17" s="25"/>
      <c r="E17" s="25"/>
    </row>
    <row r="18" ht="20.05" customHeight="1">
      <c r="B18" s="33"/>
      <c r="C18" s="19">
        <v>161</v>
      </c>
      <c r="D18" s="25"/>
      <c r="E18" s="25"/>
    </row>
    <row r="19" ht="20.05" customHeight="1">
      <c r="B19" s="33"/>
      <c r="C19" s="19">
        <v>149</v>
      </c>
      <c r="D19" s="25"/>
      <c r="E19" s="25"/>
    </row>
    <row r="20" ht="20.05" customHeight="1">
      <c r="B20" s="36">
        <v>2018</v>
      </c>
      <c r="C20" s="19">
        <v>118</v>
      </c>
      <c r="D20" s="25"/>
      <c r="E20" s="25"/>
    </row>
    <row r="21" ht="20.05" customHeight="1">
      <c r="B21" s="33"/>
      <c r="C21" s="19">
        <v>114</v>
      </c>
      <c r="D21" s="25"/>
      <c r="E21" s="25"/>
    </row>
    <row r="22" ht="20.05" customHeight="1">
      <c r="B22" s="33"/>
      <c r="C22" s="19">
        <v>119</v>
      </c>
      <c r="D22" s="25"/>
      <c r="E22" s="25"/>
    </row>
    <row r="23" ht="20.05" customHeight="1">
      <c r="B23" s="33"/>
      <c r="C23" s="19">
        <v>124</v>
      </c>
      <c r="D23" s="25"/>
      <c r="E23" s="25"/>
    </row>
    <row r="24" ht="20.05" customHeight="1">
      <c r="B24" s="36">
        <v>2019</v>
      </c>
      <c r="C24" s="19">
        <v>137</v>
      </c>
      <c r="D24" s="25"/>
      <c r="E24" s="25"/>
    </row>
    <row r="25" ht="20.05" customHeight="1">
      <c r="B25" s="33"/>
      <c r="C25" s="19">
        <v>170</v>
      </c>
      <c r="D25" s="25"/>
      <c r="E25" s="25"/>
    </row>
    <row r="26" ht="20.05" customHeight="1">
      <c r="B26" s="33"/>
      <c r="C26" s="19">
        <v>154</v>
      </c>
      <c r="D26" s="25"/>
      <c r="E26" s="25"/>
    </row>
    <row r="27" ht="20.05" customHeight="1">
      <c r="B27" s="33"/>
      <c r="C27" s="19">
        <v>147</v>
      </c>
      <c r="D27" s="25"/>
      <c r="E27" s="25"/>
    </row>
    <row r="28" ht="20.05" customHeight="1">
      <c r="B28" s="36">
        <v>2020</v>
      </c>
      <c r="C28" s="19">
        <v>130</v>
      </c>
      <c r="D28" s="25"/>
      <c r="E28" s="25"/>
    </row>
    <row r="29" ht="20.05" customHeight="1">
      <c r="B29" s="33"/>
      <c r="C29" s="19">
        <v>119</v>
      </c>
      <c r="D29" s="25"/>
      <c r="E29" s="25"/>
    </row>
    <row r="30" ht="20.05" customHeight="1">
      <c r="B30" s="33"/>
      <c r="C30" s="17">
        <v>109</v>
      </c>
      <c r="D30" s="24">
        <v>221.666666666667</v>
      </c>
      <c r="E30" s="25"/>
    </row>
    <row r="31" ht="20.05" customHeight="1">
      <c r="B31" s="33"/>
      <c r="C31" s="17">
        <v>94</v>
      </c>
      <c r="D31" s="24">
        <v>223.379216543181</v>
      </c>
      <c r="E31" s="25"/>
    </row>
    <row r="32" ht="20.05" customHeight="1">
      <c r="B32" s="36">
        <v>2021</v>
      </c>
      <c r="C32" s="17">
        <v>114</v>
      </c>
      <c r="D32" s="24">
        <v>199.939577847445</v>
      </c>
      <c r="E32" s="25"/>
    </row>
    <row r="33" ht="20.05" customHeight="1">
      <c r="B33" s="33"/>
      <c r="C33" s="17">
        <v>115</v>
      </c>
      <c r="D33" s="24">
        <v>199.939577847445</v>
      </c>
      <c r="E33" s="25"/>
    </row>
    <row r="34" ht="20.05" customHeight="1">
      <c r="B34" s="33"/>
      <c r="C34" s="17">
        <v>326</v>
      </c>
      <c r="D34" s="24">
        <v>338.556708671965</v>
      </c>
      <c r="E34" s="25"/>
    </row>
    <row r="35" ht="20.05" customHeight="1">
      <c r="B35" s="33"/>
      <c r="C35" s="17">
        <v>360</v>
      </c>
      <c r="D35" s="24">
        <v>332.669562035789</v>
      </c>
      <c r="E35" s="25"/>
    </row>
    <row r="36" ht="20.05" customHeight="1">
      <c r="B36" s="36">
        <v>2022</v>
      </c>
      <c r="C36" s="17">
        <v>320</v>
      </c>
      <c r="D36" s="24">
        <v>227.153225178622</v>
      </c>
      <c r="E36" s="25"/>
    </row>
    <row r="37" ht="20.05" customHeight="1">
      <c r="B37" s="33"/>
      <c r="C37" s="17">
        <v>288</v>
      </c>
      <c r="D37" s="24">
        <v>211.032673714334</v>
      </c>
      <c r="E37" s="25"/>
    </row>
    <row r="38" ht="20.05" customHeight="1">
      <c r="B38" s="33"/>
      <c r="C38" s="17"/>
      <c r="D38" s="24">
        <f>'Model'!F44</f>
        <v>302.979489066518</v>
      </c>
      <c r="E38" s="25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1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1406" style="45" customWidth="1"/>
    <col min="2" max="2" width="8.61719" style="45" customWidth="1"/>
    <col min="3" max="5" width="10.3828" style="45" customWidth="1"/>
    <col min="6" max="16384" width="16.3516" style="45" customWidth="1"/>
  </cols>
  <sheetData>
    <row r="1" ht="150.95" customHeight="1"/>
    <row r="2" ht="27.65" customHeight="1">
      <c r="B2" t="s" s="2">
        <v>63</v>
      </c>
      <c r="C2" s="2"/>
      <c r="D2" s="2"/>
      <c r="E2" s="2"/>
    </row>
    <row r="3" ht="44.25" customHeight="1">
      <c r="B3" s="4"/>
      <c r="C3" t="s" s="5">
        <v>64</v>
      </c>
      <c r="D3" t="s" s="5">
        <v>5</v>
      </c>
      <c r="E3" t="s" s="5">
        <v>65</v>
      </c>
    </row>
    <row r="4" ht="20.25" customHeight="1">
      <c r="B4" s="28">
        <v>2014</v>
      </c>
      <c r="C4" s="46">
        <v>1901</v>
      </c>
      <c r="D4" s="41">
        <v>260721</v>
      </c>
      <c r="E4" s="47">
        <f>C4/D4</f>
        <v>0.00729131907287867</v>
      </c>
    </row>
    <row r="5" ht="20.05" customHeight="1">
      <c r="B5" s="36">
        <v>2015</v>
      </c>
      <c r="C5" s="23">
        <v>4361</v>
      </c>
      <c r="D5" s="24">
        <v>323112</v>
      </c>
      <c r="E5" s="48">
        <f>C5/D5</f>
        <v>0.0134968679590978</v>
      </c>
    </row>
    <row r="6" ht="20.05" customHeight="1">
      <c r="B6" s="36">
        <v>2016</v>
      </c>
      <c r="C6" s="23">
        <v>7001</v>
      </c>
      <c r="D6" s="24">
        <v>394833</v>
      </c>
      <c r="E6" s="48">
        <f>C6/D6</f>
        <v>0.0177315472617537</v>
      </c>
    </row>
    <row r="7" ht="20.05" customHeight="1">
      <c r="B7" s="36">
        <v>2017</v>
      </c>
      <c r="C7" s="23">
        <v>7748</v>
      </c>
      <c r="D7" s="24">
        <v>402679</v>
      </c>
      <c r="E7" s="48">
        <f>C7/D7</f>
        <v>0.0192411325149809</v>
      </c>
    </row>
    <row r="8" ht="20.05" customHeight="1">
      <c r="B8" s="36">
        <v>2018</v>
      </c>
      <c r="C8" s="23">
        <v>12045</v>
      </c>
      <c r="D8" s="24">
        <v>448528</v>
      </c>
      <c r="E8" s="48">
        <f>C8/D8</f>
        <v>0.0268545107551814</v>
      </c>
    </row>
    <row r="9" ht="20.05" customHeight="1">
      <c r="B9" s="36">
        <v>2019</v>
      </c>
      <c r="C9" s="23">
        <v>11211</v>
      </c>
      <c r="D9" s="24">
        <v>443009</v>
      </c>
      <c r="E9" s="48">
        <f>C9/D9</f>
        <v>0.025306483615457</v>
      </c>
    </row>
    <row r="10" ht="20.05" customHeight="1">
      <c r="B10" s="36">
        <v>2020</v>
      </c>
      <c r="C10" s="23">
        <v>11552</v>
      </c>
      <c r="D10" s="24">
        <v>424019</v>
      </c>
      <c r="E10" s="48">
        <f>C10/D10</f>
        <v>0.0272440621764591</v>
      </c>
    </row>
    <row r="11" ht="20.05" customHeight="1">
      <c r="B11" s="36">
        <v>2021</v>
      </c>
      <c r="C11" s="23">
        <v>7616</v>
      </c>
      <c r="D11" s="24">
        <v>234676</v>
      </c>
      <c r="E11" s="48">
        <f>C11/D11</f>
        <v>0.0324532547000972</v>
      </c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