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<sst xmlns="http://schemas.openxmlformats.org/spreadsheetml/2006/main" uniqueCount="61">
  <si>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</si>
  <si>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</si>
  <si>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>4Q 2022</t>
  </si>
  <si>
    <t>Cash flow</t>
  </si>
  <si>
    <t>Growth</t>
  </si>
  <si>
    <t>Sales</t>
  </si>
  <si>
    <t>Cost ratio</t>
  </si>
  <si>
    <t xml:space="preserve">Cash cost 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</si>
  <si>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</si>
  <si>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</si>
  <si>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</si>
  <si>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</si>
  <si>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</si>
  <si>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</si>
  <si>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</si>
  <si>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</si>
  <si>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</si>
  <si>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</si>
  <si>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</si>
  <si>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</si>
  <si>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</si>
  <si>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</si>
  <si>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</si>
  <si>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</si>
  <si>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</si>
  <si>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</si>
  <si>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</si>
  <si>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</si>
  <si>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</si>
  <si>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</si>
  <si>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</si>
  <si>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</si>
  <si>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</si>
  <si>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</si>
  <si>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</si>
  <si>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</si>
  <si>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</si>
  <si>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</si>
  <si>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</si>
  <si>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</si>
  <si>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</si>
  <si>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</si>
  <si>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</si>
  <si>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</si>
  <si>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FX gain (loss)</t>
  </si>
  <si>
    <t xml:space="preserve">Sales growth </t>
  </si>
  <si>
    <t xml:space="preserve">Cost ratio </t>
  </si>
  <si>
    <t xml:space="preserve">Rpbn </t>
  </si>
  <si>
    <t>Receipta</t>
  </si>
  <si>
    <t>Lease</t>
  </si>
  <si>
    <t>Liabilities</t>
  </si>
  <si>
    <t>Finance</t>
  </si>
  <si>
    <t>Free cash flow</t>
  </si>
  <si>
    <t>Cash</t>
  </si>
  <si>
    <t>Assets</t>
  </si>
  <si>
    <t>Other Assets</t>
  </si>
  <si>
    <t>Check</t>
  </si>
  <si>
    <t>Net cash</t>
  </si>
  <si>
    <t>Share price</t>
  </si>
  <si>
    <t>TOTL</t>
  </si>
  <si>
    <t>Previous 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</si>
</sst>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_);[Red]\(0\)"/>
    <numFmt numFmtId="60" formatCode="#,##0%"/>
    <numFmt numFmtId="61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480303</xdr:colOff>
      <xdr:row>1</xdr:row>
      <xdr:rowOff>302141</xdr:rowOff>
    </xdr:from>
    <xdr:to>
      <xdr:col>13</xdr:col>
      <xdr:colOff>414409</xdr:colOff>
      <xdr:row>48</xdr:row>
      <xdr:rowOff>10998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636503" y="959366"/>
          <a:ext cx="8646307" cy="117783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6.4062" style="1" customWidth="1"/>
    <col min="2" max="2" width="15.3438" style="1" customWidth="1"/>
    <col min="3" max="6" width="9.02344" style="1" customWidth="1"/>
    <col min="7" max="16384" width="16.3516" style="1" customWidth="1"/>
  </cols>
  <sheetData>
    <row r="1" ht="51.7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AVERAGE('Sales'!H29:H32)</f>
        <v>0.115539525767878</v>
      </c>
      <c r="D4" s="8"/>
      <c r="E4" s="8"/>
      <c r="F4" s="8">
        <f>AVERAGE(C5:F5)</f>
        <v>0.0625</v>
      </c>
    </row>
    <row r="5" ht="20.05" customHeight="1">
      <c r="B5" t="s" s="9">
        <v>4</v>
      </c>
      <c r="C5" s="10">
        <v>0.03</v>
      </c>
      <c r="D5" s="11">
        <v>0.03</v>
      </c>
      <c r="E5" s="11">
        <v>0.2</v>
      </c>
      <c r="F5" s="11">
        <v>-0.01</v>
      </c>
    </row>
    <row r="6" ht="20.05" customHeight="1">
      <c r="B6" t="s" s="9">
        <v>5</v>
      </c>
      <c r="C6" s="12">
        <f>'Sales'!C32*(1+C5)</f>
        <v>613.88</v>
      </c>
      <c r="D6" s="13">
        <f>C6*(1+D5)</f>
        <v>632.2963999999999</v>
      </c>
      <c r="E6" s="13">
        <f>D6*(1+E5)</f>
        <v>758.75568</v>
      </c>
      <c r="F6" s="13">
        <f>E6*(1+F5)</f>
        <v>751.1681232</v>
      </c>
    </row>
    <row r="7" ht="20.05" customHeight="1">
      <c r="B7" t="s" s="9">
        <v>6</v>
      </c>
      <c r="C7" s="14">
        <f>AVERAGE('Sales'!J23)</f>
        <v>-0.913363657424398</v>
      </c>
      <c r="D7" s="15">
        <f>C7</f>
        <v>-0.913363657424398</v>
      </c>
      <c r="E7" s="15">
        <f>D7</f>
        <v>-0.913363657424398</v>
      </c>
      <c r="F7" s="15">
        <f>E7</f>
        <v>-0.913363657424398</v>
      </c>
    </row>
    <row r="8" ht="20.05" customHeight="1">
      <c r="B8" t="s" s="9">
        <v>7</v>
      </c>
      <c r="C8" s="16">
        <f>C7*C6</f>
        <v>-560.695682019689</v>
      </c>
      <c r="D8" s="17">
        <f>D7*D6</f>
        <v>-577.516552480280</v>
      </c>
      <c r="E8" s="17">
        <f>E7*E6</f>
        <v>-693.019862976336</v>
      </c>
      <c r="F8" s="17">
        <f>F7*F6</f>
        <v>-686.089664346573</v>
      </c>
    </row>
    <row r="9" ht="20.05" customHeight="1">
      <c r="B9" t="s" s="9">
        <v>8</v>
      </c>
      <c r="C9" s="16">
        <f>C6+C8</f>
        <v>53.184317980311</v>
      </c>
      <c r="D9" s="17">
        <f>D6+D8</f>
        <v>54.779847519720</v>
      </c>
      <c r="E9" s="17">
        <f>E6+E8</f>
        <v>65.735817023664</v>
      </c>
      <c r="F9" s="17">
        <f>F6+F8</f>
        <v>65.07845885342699</v>
      </c>
    </row>
    <row r="10" ht="20.05" customHeight="1">
      <c r="B10" t="s" s="9">
        <v>9</v>
      </c>
      <c r="C10" s="18">
        <f>AVERAGE('Cashflow'!E31:E32)</f>
        <v>-15.55</v>
      </c>
      <c r="D10" s="19">
        <f>C10</f>
        <v>-15.55</v>
      </c>
      <c r="E10" s="19">
        <f>D10</f>
        <v>-15.55</v>
      </c>
      <c r="F10" s="19">
        <f>E10</f>
        <v>-15.55</v>
      </c>
    </row>
    <row r="11" ht="20.05" customHeight="1">
      <c r="B11" t="s" s="9">
        <v>10</v>
      </c>
      <c r="C11" s="18">
        <f>C12+C15+C13</f>
        <v>-37.634317980311</v>
      </c>
      <c r="D11" s="19">
        <f>D12+D15+D13</f>
        <v>-39.229847519720</v>
      </c>
      <c r="E11" s="19">
        <f>E12+E15+E13</f>
        <v>-50.185817023664</v>
      </c>
      <c r="F11" s="19">
        <f>F12+F15+F13</f>
        <v>-49.528458853427</v>
      </c>
    </row>
    <row r="12" ht="20.05" customHeight="1">
      <c r="B12" t="s" s="9">
        <v>11</v>
      </c>
      <c r="C12" s="18">
        <f>-('Balance sheet'!F31)/20</f>
        <v>-92</v>
      </c>
      <c r="D12" s="19">
        <f>-C27/20</f>
        <v>-87.40000000000001</v>
      </c>
      <c r="E12" s="19">
        <f>-D27/20</f>
        <v>-83.03</v>
      </c>
      <c r="F12" s="19">
        <f>-E27/20</f>
        <v>-78.8785</v>
      </c>
    </row>
    <row r="13" ht="20.05" customHeight="1">
      <c r="B13" t="s" s="9">
        <v>12</v>
      </c>
      <c r="C13" s="18">
        <f>-MIN(0,C16)</f>
        <v>63.6025456157512</v>
      </c>
      <c r="D13" s="19">
        <f>-MIN(C28,D16)</f>
        <v>57.726121984224</v>
      </c>
      <c r="E13" s="19">
        <f>-MIN(D28,E16)</f>
        <v>44.5913463810688</v>
      </c>
      <c r="F13" s="19">
        <f>-MIN(E28,F16)</f>
        <v>40.9657329172584</v>
      </c>
    </row>
    <row r="14" ht="20.05" customHeight="1">
      <c r="B14" t="s" s="9">
        <v>13</v>
      </c>
      <c r="C14" s="20">
        <v>0.2</v>
      </c>
      <c r="D14" s="19"/>
      <c r="E14" s="19"/>
      <c r="F14" s="19"/>
    </row>
    <row r="15" ht="20.05" customHeight="1">
      <c r="B15" t="s" s="9">
        <v>14</v>
      </c>
      <c r="C15" s="18">
        <f>IF(C22&gt;0,-C22*$C$14,0)</f>
        <v>-9.2368635960622</v>
      </c>
      <c r="D15" s="19">
        <f>IF(D22&gt;0,-D22*$C$14,0)</f>
        <v>-9.555969503944</v>
      </c>
      <c r="E15" s="19">
        <f>IF(E22&gt;0,-E22*$C$14,0)</f>
        <v>-11.7471634047328</v>
      </c>
      <c r="F15" s="19">
        <f>IF(F22&gt;0,-F22*$C$14,0)</f>
        <v>-11.6156917706854</v>
      </c>
    </row>
    <row r="16" ht="20.05" customHeight="1">
      <c r="B16" t="s" s="9">
        <v>15</v>
      </c>
      <c r="C16" s="16">
        <f>C9+C10+C12+C15</f>
        <v>-63.6025456157512</v>
      </c>
      <c r="D16" s="17">
        <f>D9+D10+D12+D15</f>
        <v>-57.726121984224</v>
      </c>
      <c r="E16" s="17">
        <f>E9+E10+E12+E15</f>
        <v>-44.5913463810688</v>
      </c>
      <c r="F16" s="17">
        <f>F9+F10+F12+F15</f>
        <v>-40.9657329172584</v>
      </c>
    </row>
    <row r="17" ht="20.05" customHeight="1">
      <c r="B17" t="s" s="9">
        <v>16</v>
      </c>
      <c r="C17" s="18">
        <f>'Balance sheet'!B31</f>
        <v>862.4</v>
      </c>
      <c r="D17" s="19">
        <f>C19</f>
        <v>862.4</v>
      </c>
      <c r="E17" s="19">
        <f>D19</f>
        <v>862.4</v>
      </c>
      <c r="F17" s="19">
        <f>E19</f>
        <v>862.4</v>
      </c>
    </row>
    <row r="18" ht="20.05" customHeight="1">
      <c r="B18" t="s" s="9">
        <v>17</v>
      </c>
      <c r="C18" s="18">
        <f>C9+C10+C11</f>
        <v>0</v>
      </c>
      <c r="D18" s="19">
        <f>D9+D10+D11</f>
        <v>0</v>
      </c>
      <c r="E18" s="19">
        <f>E9+E10+E11</f>
        <v>0</v>
      </c>
      <c r="F18" s="19">
        <f>F9+F10+F11</f>
        <v>0</v>
      </c>
    </row>
    <row r="19" ht="20.05" customHeight="1">
      <c r="B19" t="s" s="9">
        <v>18</v>
      </c>
      <c r="C19" s="18">
        <f>C17+C18</f>
        <v>862.4</v>
      </c>
      <c r="D19" s="19">
        <f>D17+D18</f>
        <v>862.4</v>
      </c>
      <c r="E19" s="19">
        <f>E17+E18</f>
        <v>862.4</v>
      </c>
      <c r="F19" s="19">
        <f>F17+F18</f>
        <v>862.4</v>
      </c>
    </row>
    <row r="20" ht="20.05" customHeight="1">
      <c r="B20" t="s" s="21">
        <v>19</v>
      </c>
      <c r="C20" s="22"/>
      <c r="D20" s="23"/>
      <c r="E20" s="23"/>
      <c r="F20" s="24"/>
    </row>
    <row r="21" ht="20.05" customHeight="1">
      <c r="B21" t="s" s="9">
        <v>20</v>
      </c>
      <c r="C21" s="18">
        <f>-AVERAGE('Sales'!E32)</f>
        <v>-7</v>
      </c>
      <c r="D21" s="19">
        <f>C21</f>
        <v>-7</v>
      </c>
      <c r="E21" s="19">
        <f>D21</f>
        <v>-7</v>
      </c>
      <c r="F21" s="19">
        <f>E21</f>
        <v>-7</v>
      </c>
    </row>
    <row r="22" ht="20.05" customHeight="1">
      <c r="B22" t="s" s="9">
        <v>21</v>
      </c>
      <c r="C22" s="18">
        <f>C6+C8+C21</f>
        <v>46.184317980311</v>
      </c>
      <c r="D22" s="19">
        <f>D6+D8+D21</f>
        <v>47.779847519720</v>
      </c>
      <c r="E22" s="19">
        <f>E6+E8+E21</f>
        <v>58.735817023664</v>
      </c>
      <c r="F22" s="19">
        <f>F6+F8+F21</f>
        <v>58.078458853427</v>
      </c>
    </row>
    <row r="23" ht="20.05" customHeight="1">
      <c r="B23" t="s" s="21">
        <v>22</v>
      </c>
      <c r="C23" s="22"/>
      <c r="D23" s="23"/>
      <c r="E23" s="23"/>
      <c r="F23" s="19"/>
    </row>
    <row r="24" ht="20.05" customHeight="1">
      <c r="B24" t="s" s="9">
        <v>23</v>
      </c>
      <c r="C24" s="18">
        <f>'Balance sheet'!D31+'Balance sheet'!E31-C10</f>
        <v>1906.15</v>
      </c>
      <c r="D24" s="19">
        <f>C24-D10</f>
        <v>1921.7</v>
      </c>
      <c r="E24" s="19">
        <f>D24-E10</f>
        <v>1937.25</v>
      </c>
      <c r="F24" s="19">
        <f>E24-F10</f>
        <v>1952.8</v>
      </c>
    </row>
    <row r="25" ht="20.05" customHeight="1">
      <c r="B25" t="s" s="9">
        <v>24</v>
      </c>
      <c r="C25" s="18">
        <f>'Balance sheet'!E31-C21</f>
        <v>331</v>
      </c>
      <c r="D25" s="19">
        <f>C25-D21</f>
        <v>338</v>
      </c>
      <c r="E25" s="19">
        <f>D25-E21</f>
        <v>345</v>
      </c>
      <c r="F25" s="19">
        <f>E25-F21</f>
        <v>352</v>
      </c>
    </row>
    <row r="26" ht="20.05" customHeight="1">
      <c r="B26" t="s" s="9">
        <v>25</v>
      </c>
      <c r="C26" s="18">
        <f>C24-C25</f>
        <v>1575.15</v>
      </c>
      <c r="D26" s="19">
        <f>D24-D25</f>
        <v>1583.7</v>
      </c>
      <c r="E26" s="19">
        <f>E24-E25</f>
        <v>1592.25</v>
      </c>
      <c r="F26" s="19">
        <f>F24-F25</f>
        <v>1600.8</v>
      </c>
    </row>
    <row r="27" ht="20.05" customHeight="1">
      <c r="B27" t="s" s="9">
        <v>11</v>
      </c>
      <c r="C27" s="18">
        <f>'Balance sheet'!F31+C12</f>
        <v>1748</v>
      </c>
      <c r="D27" s="19">
        <f>C27+D12</f>
        <v>1660.6</v>
      </c>
      <c r="E27" s="19">
        <f>D27+E12</f>
        <v>1577.57</v>
      </c>
      <c r="F27" s="19">
        <f>E27+F12</f>
        <v>1498.6915</v>
      </c>
    </row>
    <row r="28" ht="20.05" customHeight="1">
      <c r="B28" t="s" s="9">
        <v>12</v>
      </c>
      <c r="C28" s="18">
        <f>C13</f>
        <v>63.6025456157512</v>
      </c>
      <c r="D28" s="19">
        <f>C28+D13</f>
        <v>121.328667599975</v>
      </c>
      <c r="E28" s="19">
        <f>D28+E13</f>
        <v>165.920013981044</v>
      </c>
      <c r="F28" s="19">
        <f>E28+F13</f>
        <v>206.885746898302</v>
      </c>
    </row>
    <row r="29" ht="20.05" customHeight="1">
      <c r="B29" t="s" s="9">
        <v>26</v>
      </c>
      <c r="C29" s="18">
        <f>'Balance sheet'!G31+C22+C15</f>
        <v>625.947454384249</v>
      </c>
      <c r="D29" s="19">
        <f>C29+D22+D15</f>
        <v>664.171332400025</v>
      </c>
      <c r="E29" s="19">
        <f>D29+E22+E15</f>
        <v>711.159986018956</v>
      </c>
      <c r="F29" s="19">
        <f>E29+F22+F15</f>
        <v>757.622753101698</v>
      </c>
    </row>
    <row r="30" ht="20.05" customHeight="1">
      <c r="B30" t="s" s="9">
        <v>27</v>
      </c>
      <c r="C30" s="18">
        <f>C27+C28+C29-C19-C26</f>
        <v>2e-13</v>
      </c>
      <c r="D30" s="19">
        <f>D27+D28+D29-D19-D26</f>
        <v>0</v>
      </c>
      <c r="E30" s="19">
        <f>E27+E28+E29-E19-E26</f>
        <v>0</v>
      </c>
      <c r="F30" s="19">
        <f>F27+F28+F29-F19-F26</f>
        <v>0</v>
      </c>
    </row>
    <row r="31" ht="20.05" customHeight="1">
      <c r="B31" t="s" s="9">
        <v>28</v>
      </c>
      <c r="C31" s="18">
        <f>C19-C27-C28</f>
        <v>-949.202545615751</v>
      </c>
      <c r="D31" s="19">
        <f>D19-D27-D28</f>
        <v>-919.5286675999751</v>
      </c>
      <c r="E31" s="19">
        <f>E19-E27-E28</f>
        <v>-881.090013981044</v>
      </c>
      <c r="F31" s="19">
        <f>F19-F27-F28</f>
        <v>-843.177246898302</v>
      </c>
    </row>
    <row r="32" ht="20.05" customHeight="1">
      <c r="B32" t="s" s="21">
        <v>29</v>
      </c>
      <c r="C32" s="22"/>
      <c r="D32" s="23"/>
      <c r="E32" s="23"/>
      <c r="F32" s="23"/>
    </row>
    <row r="33" ht="20.05" customHeight="1">
      <c r="B33" t="s" s="9">
        <v>30</v>
      </c>
      <c r="C33" s="18">
        <f>'Cashflow'!M32-C11</f>
        <v>766.434317980311</v>
      </c>
      <c r="D33" s="19">
        <f>C33-D11</f>
        <v>805.664165500031</v>
      </c>
      <c r="E33" s="19">
        <f>D33-E11</f>
        <v>855.849982523695</v>
      </c>
      <c r="F33" s="19">
        <f>E33-F11</f>
        <v>905.378441377122</v>
      </c>
    </row>
    <row r="34" ht="20.05" customHeight="1">
      <c r="B34" t="s" s="9">
        <v>31</v>
      </c>
      <c r="C34" s="22"/>
      <c r="D34" s="23"/>
      <c r="E34" s="23"/>
      <c r="F34" s="19">
        <v>1009359978496</v>
      </c>
    </row>
    <row r="35" ht="20.05" customHeight="1">
      <c r="B35" t="s" s="9">
        <v>31</v>
      </c>
      <c r="C35" s="22"/>
      <c r="D35" s="23"/>
      <c r="E35" s="23"/>
      <c r="F35" s="19">
        <f>F34/1000000000</f>
        <v>1009.359978496</v>
      </c>
    </row>
    <row r="36" ht="20.05" customHeight="1">
      <c r="B36" t="s" s="9">
        <v>32</v>
      </c>
      <c r="C36" s="22"/>
      <c r="D36" s="23"/>
      <c r="E36" s="23"/>
      <c r="F36" s="25">
        <f>F35/(F19+F26)</f>
        <v>0.409775892536538</v>
      </c>
    </row>
    <row r="37" ht="20.05" customHeight="1">
      <c r="B37" t="s" s="9">
        <v>33</v>
      </c>
      <c r="C37" s="22"/>
      <c r="D37" s="23"/>
      <c r="E37" s="23"/>
      <c r="F37" s="11">
        <f>-(C15+D15+E15+F15)/F35</f>
        <v>0.041764770917744</v>
      </c>
    </row>
    <row r="38" ht="20.05" customHeight="1">
      <c r="B38" t="s" s="9">
        <v>34</v>
      </c>
      <c r="C38" s="22"/>
      <c r="D38" s="23"/>
      <c r="E38" s="23"/>
      <c r="F38" s="17">
        <f>SUM(C9:F10)</f>
        <v>176.578441377122</v>
      </c>
    </row>
    <row r="39" ht="20.05" customHeight="1">
      <c r="B39" t="s" s="9">
        <v>35</v>
      </c>
      <c r="C39" s="22"/>
      <c r="D39" s="23"/>
      <c r="E39" s="23"/>
      <c r="F39" s="19">
        <f>'Balance sheet'!D31/F38</f>
        <v>8.87197773285461</v>
      </c>
    </row>
    <row r="40" ht="20.05" customHeight="1">
      <c r="B40" t="s" s="9">
        <v>29</v>
      </c>
      <c r="C40" s="22"/>
      <c r="D40" s="23"/>
      <c r="E40" s="23"/>
      <c r="F40" s="19">
        <f>F35/F38</f>
        <v>5.71621297947857</v>
      </c>
    </row>
    <row r="41" ht="20.05" customHeight="1">
      <c r="B41" t="s" s="9">
        <v>36</v>
      </c>
      <c r="C41" s="22"/>
      <c r="D41" s="23"/>
      <c r="E41" s="23"/>
      <c r="F41" s="23">
        <v>15</v>
      </c>
    </row>
    <row r="42" ht="20.05" customHeight="1">
      <c r="B42" t="s" s="9">
        <v>37</v>
      </c>
      <c r="C42" s="22"/>
      <c r="D42" s="23"/>
      <c r="E42" s="23"/>
      <c r="F42" s="19">
        <f>F38*F41</f>
        <v>2648.676620656830</v>
      </c>
    </row>
    <row r="43" ht="20.05" customHeight="1">
      <c r="B43" t="s" s="9">
        <v>38</v>
      </c>
      <c r="C43" s="22"/>
      <c r="D43" s="23"/>
      <c r="E43" s="23"/>
      <c r="F43" s="19">
        <f>F35/F45</f>
        <v>3.40999992735135</v>
      </c>
    </row>
    <row r="44" ht="20.05" customHeight="1">
      <c r="B44" t="s" s="9">
        <v>39</v>
      </c>
      <c r="C44" s="22"/>
      <c r="D44" s="23"/>
      <c r="E44" s="23"/>
      <c r="F44" s="19">
        <f>F42/F43</f>
        <v>776.7380284709089</v>
      </c>
    </row>
    <row r="45" ht="20.05" customHeight="1">
      <c r="B45" t="s" s="9">
        <v>40</v>
      </c>
      <c r="C45" s="22"/>
      <c r="D45" s="23"/>
      <c r="E45" s="23"/>
      <c r="F45" s="19">
        <v>296</v>
      </c>
    </row>
    <row r="46" ht="20.05" customHeight="1">
      <c r="B46" t="s" s="9">
        <v>41</v>
      </c>
      <c r="C46" s="22"/>
      <c r="D46" s="23"/>
      <c r="E46" s="23"/>
      <c r="F46" s="15">
        <f>F44/F45-1</f>
        <v>1.62411496105037</v>
      </c>
    </row>
    <row r="47" ht="20.05" customHeight="1">
      <c r="B47" t="s" s="9">
        <v>42</v>
      </c>
      <c r="C47" s="22"/>
      <c r="D47" s="23"/>
      <c r="E47" s="23"/>
      <c r="F47" s="15">
        <f>'Sales'!C32/'Sales'!C28-1</f>
        <v>0.298474945533769</v>
      </c>
    </row>
    <row r="48" ht="20.05" customHeight="1">
      <c r="B48" t="s" s="9">
        <v>43</v>
      </c>
      <c r="C48" s="22"/>
      <c r="D48" s="23"/>
      <c r="E48" s="23"/>
      <c r="F48" s="15">
        <f>'Sales'!F35/'Sales'!E35-1</f>
        <v>0.148847225608694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53906" style="26" customWidth="1"/>
    <col min="2" max="2" width="8.25" style="26" customWidth="1"/>
    <col min="3" max="11" width="10.2812" style="26" customWidth="1"/>
    <col min="12" max="16384" width="16.3516" style="26" customWidth="1"/>
  </cols>
  <sheetData>
    <row r="1" ht="22.7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44</v>
      </c>
      <c r="G3" t="s" s="5">
        <v>21</v>
      </c>
      <c r="H3" t="s" s="5">
        <v>45</v>
      </c>
      <c r="I3" t="s" s="5">
        <v>46</v>
      </c>
      <c r="J3" t="s" s="5">
        <v>46</v>
      </c>
      <c r="K3" t="s" s="5">
        <v>36</v>
      </c>
    </row>
    <row r="4" ht="20.25" customHeight="1">
      <c r="B4" s="27">
        <v>2015</v>
      </c>
      <c r="C4" s="28">
        <v>530</v>
      </c>
      <c r="D4" s="29"/>
      <c r="E4" s="30">
        <v>4</v>
      </c>
      <c r="F4" s="30"/>
      <c r="G4" s="30">
        <v>52</v>
      </c>
      <c r="H4" s="8"/>
      <c r="I4" s="31">
        <f>(E4+G4-F4-C4)/C4</f>
        <v>-0.894339622641509</v>
      </c>
      <c r="J4" s="31"/>
      <c r="K4" s="31"/>
    </row>
    <row r="5" ht="20.05" customHeight="1">
      <c r="B5" s="32"/>
      <c r="C5" s="18">
        <v>563</v>
      </c>
      <c r="D5" s="23"/>
      <c r="E5" s="19">
        <v>3</v>
      </c>
      <c r="F5" s="19"/>
      <c r="G5" s="19">
        <v>52</v>
      </c>
      <c r="H5" s="15">
        <f>C5/C4-1</f>
        <v>0.0622641509433962</v>
      </c>
      <c r="I5" s="15">
        <f>(E5+G5-F5-C5)/C5</f>
        <v>-0.902309058614565</v>
      </c>
      <c r="J5" s="15"/>
      <c r="K5" s="15"/>
    </row>
    <row r="6" ht="20.05" customHeight="1">
      <c r="B6" s="32"/>
      <c r="C6" s="18">
        <v>529</v>
      </c>
      <c r="D6" s="23"/>
      <c r="E6" s="19">
        <v>9</v>
      </c>
      <c r="F6" s="19"/>
      <c r="G6" s="19">
        <v>46</v>
      </c>
      <c r="H6" s="15">
        <f>C6/C5-1</f>
        <v>-0.0603907637655417</v>
      </c>
      <c r="I6" s="15">
        <f>(E6+G6-F6-C6)/C6</f>
        <v>-0.896030245746692</v>
      </c>
      <c r="J6" s="15"/>
      <c r="K6" s="15"/>
    </row>
    <row r="7" ht="20.05" customHeight="1">
      <c r="B7" s="32"/>
      <c r="C7" s="18">
        <v>644</v>
      </c>
      <c r="D7" s="23"/>
      <c r="E7" s="19">
        <v>9</v>
      </c>
      <c r="F7" s="19"/>
      <c r="G7" s="19">
        <v>41</v>
      </c>
      <c r="H7" s="15">
        <f>C7/C6-1</f>
        <v>0.217391304347826</v>
      </c>
      <c r="I7" s="15">
        <f>(E7+G7-F7-C7)/C7</f>
        <v>-0.922360248447205</v>
      </c>
      <c r="J7" s="15"/>
      <c r="K7" s="15"/>
    </row>
    <row r="8" ht="20.05" customHeight="1">
      <c r="B8" s="33">
        <v>2016</v>
      </c>
      <c r="C8" s="18">
        <v>637</v>
      </c>
      <c r="D8" s="23"/>
      <c r="E8" s="19">
        <v>9</v>
      </c>
      <c r="F8" s="19"/>
      <c r="G8" s="19">
        <v>62</v>
      </c>
      <c r="H8" s="15">
        <f>C8/C7-1</f>
        <v>-0.0108695652173913</v>
      </c>
      <c r="I8" s="15">
        <f>(E8+G8-F8-C8)/C8</f>
        <v>-0.888540031397174</v>
      </c>
      <c r="J8" s="24"/>
      <c r="K8" s="24"/>
    </row>
    <row r="9" ht="20.05" customHeight="1">
      <c r="B9" s="32"/>
      <c r="C9" s="18">
        <v>619</v>
      </c>
      <c r="D9" s="23"/>
      <c r="E9" s="19">
        <v>1</v>
      </c>
      <c r="F9" s="19"/>
      <c r="G9" s="19">
        <v>55</v>
      </c>
      <c r="H9" s="15">
        <f>C9/C8-1</f>
        <v>-0.0282574568288854</v>
      </c>
      <c r="I9" s="15">
        <f>(E9+G9-F9-C9)/C9</f>
        <v>-0.909531502423263</v>
      </c>
      <c r="J9" s="24"/>
      <c r="K9" s="24"/>
    </row>
    <row r="10" ht="20.05" customHeight="1">
      <c r="B10" s="32"/>
      <c r="C10" s="18">
        <v>466</v>
      </c>
      <c r="D10" s="23"/>
      <c r="E10" s="19">
        <v>16</v>
      </c>
      <c r="F10" s="19"/>
      <c r="G10" s="19">
        <v>42</v>
      </c>
      <c r="H10" s="15">
        <f>C10/C9-1</f>
        <v>-0.247172859450727</v>
      </c>
      <c r="I10" s="15">
        <f>(E10+G10-F10-C10)/C10</f>
        <v>-0.875536480686695</v>
      </c>
      <c r="J10" s="24"/>
      <c r="K10" s="24"/>
    </row>
    <row r="11" ht="20.05" customHeight="1">
      <c r="B11" s="32"/>
      <c r="C11" s="18">
        <v>657</v>
      </c>
      <c r="D11" s="23"/>
      <c r="E11" s="19">
        <v>13</v>
      </c>
      <c r="F11" s="19"/>
      <c r="G11" s="19">
        <v>62</v>
      </c>
      <c r="H11" s="15">
        <f>C11/C10-1</f>
        <v>0.409871244635193</v>
      </c>
      <c r="I11" s="15">
        <f>(E11+G11-F11-C11)/C11</f>
        <v>-0.885844748858447</v>
      </c>
      <c r="J11" s="24"/>
      <c r="K11" s="24"/>
    </row>
    <row r="12" ht="20.05" customHeight="1">
      <c r="B12" s="33">
        <v>2017</v>
      </c>
      <c r="C12" s="18">
        <v>648.498</v>
      </c>
      <c r="D12" s="23"/>
      <c r="E12" s="19">
        <v>7</v>
      </c>
      <c r="F12" s="19"/>
      <c r="G12" s="19">
        <v>62</v>
      </c>
      <c r="H12" s="15">
        <f>C12/C11-1</f>
        <v>-0.0129406392694064</v>
      </c>
      <c r="I12" s="15">
        <f>(E12+G12-F12-C12)/C12</f>
        <v>-0.893600288667043</v>
      </c>
      <c r="J12" s="15">
        <f>AVERAGE(I9:I12)</f>
        <v>-0.891128255158862</v>
      </c>
      <c r="K12" s="24"/>
    </row>
    <row r="13" ht="20.05" customHeight="1">
      <c r="B13" s="32"/>
      <c r="C13" s="18">
        <v>758.502</v>
      </c>
      <c r="D13" s="23"/>
      <c r="E13" s="19">
        <v>9</v>
      </c>
      <c r="F13" s="19"/>
      <c r="G13" s="19">
        <v>58</v>
      </c>
      <c r="H13" s="15">
        <f>C13/C12-1</f>
        <v>0.169628896311168</v>
      </c>
      <c r="I13" s="15">
        <f>(E13+G13-F13-C13)/C13</f>
        <v>-0.911667998238634</v>
      </c>
      <c r="J13" s="15">
        <f>AVERAGE(I10:I13)</f>
        <v>-0.891662379112705</v>
      </c>
      <c r="K13" s="24"/>
    </row>
    <row r="14" ht="20.05" customHeight="1">
      <c r="B14" s="32"/>
      <c r="C14" s="18">
        <v>586</v>
      </c>
      <c r="D14" s="23"/>
      <c r="E14" s="19">
        <v>12</v>
      </c>
      <c r="F14" s="19"/>
      <c r="G14" s="19">
        <v>61</v>
      </c>
      <c r="H14" s="15">
        <f>C14/C13-1</f>
        <v>-0.227424581609541</v>
      </c>
      <c r="I14" s="15">
        <f>(E14+G14-F14-C14)/C14</f>
        <v>-0.87542662116041</v>
      </c>
      <c r="J14" s="15">
        <f>AVERAGE(I11:I14)</f>
        <v>-0.8916349142311339</v>
      </c>
      <c r="K14" s="24"/>
    </row>
    <row r="15" ht="20.05" customHeight="1">
      <c r="B15" s="32"/>
      <c r="C15" s="18">
        <v>943</v>
      </c>
      <c r="D15" s="23"/>
      <c r="E15" s="19">
        <v>12</v>
      </c>
      <c r="F15" s="19"/>
      <c r="G15" s="19">
        <v>50</v>
      </c>
      <c r="H15" s="15">
        <f>C15/C14-1</f>
        <v>0.609215017064846</v>
      </c>
      <c r="I15" s="15">
        <f>(E15+G15-F15-C15)/C15</f>
        <v>-0.934252386002121</v>
      </c>
      <c r="J15" s="15">
        <f>AVERAGE(I12:I15)</f>
        <v>-0.903736823517052</v>
      </c>
      <c r="K15" s="24"/>
    </row>
    <row r="16" ht="20.05" customHeight="1">
      <c r="B16" s="33">
        <v>2018</v>
      </c>
      <c r="C16" s="18">
        <v>764</v>
      </c>
      <c r="D16" s="23"/>
      <c r="E16" s="19">
        <v>10</v>
      </c>
      <c r="F16" s="19"/>
      <c r="G16" s="19">
        <v>72</v>
      </c>
      <c r="H16" s="15">
        <f>C16/C15-1</f>
        <v>-0.189819724284199</v>
      </c>
      <c r="I16" s="15">
        <f>(E16+G16-F16-C16)/C16</f>
        <v>-0.892670157068063</v>
      </c>
      <c r="J16" s="15">
        <f>AVERAGE(I13:I16)</f>
        <v>-0.903504290617307</v>
      </c>
      <c r="K16" s="15"/>
    </row>
    <row r="17" ht="20.05" customHeight="1">
      <c r="B17" s="32"/>
      <c r="C17" s="18">
        <v>610</v>
      </c>
      <c r="D17" s="23"/>
      <c r="E17" s="19">
        <v>11</v>
      </c>
      <c r="F17" s="19"/>
      <c r="G17" s="19">
        <v>47</v>
      </c>
      <c r="H17" s="15">
        <f>C17/C16-1</f>
        <v>-0.201570680628272</v>
      </c>
      <c r="I17" s="15">
        <f>(E17+G17-F17-C17)/C17</f>
        <v>-0.904918032786885</v>
      </c>
      <c r="J17" s="15">
        <f>AVERAGE(I14:I17)</f>
        <v>-0.90181679925437</v>
      </c>
      <c r="K17" s="15"/>
    </row>
    <row r="18" ht="20.05" customHeight="1">
      <c r="B18" s="32"/>
      <c r="C18" s="18">
        <v>641</v>
      </c>
      <c r="D18" s="23"/>
      <c r="E18" s="19">
        <v>3</v>
      </c>
      <c r="F18" s="19"/>
      <c r="G18" s="19">
        <v>73</v>
      </c>
      <c r="H18" s="15">
        <f>C18/C17-1</f>
        <v>0.0508196721311475</v>
      </c>
      <c r="I18" s="15">
        <f>(E18+G18-F18-C18)/C18</f>
        <v>-0.881435257410296</v>
      </c>
      <c r="J18" s="15">
        <f>AVERAGE(I15:I18)</f>
        <v>-0.9033189583168409</v>
      </c>
      <c r="K18" s="15"/>
    </row>
    <row r="19" ht="20.05" customHeight="1">
      <c r="B19" s="32"/>
      <c r="C19" s="18">
        <v>768</v>
      </c>
      <c r="D19" s="23"/>
      <c r="E19" s="19">
        <v>11</v>
      </c>
      <c r="F19" s="19"/>
      <c r="G19" s="19">
        <v>12</v>
      </c>
      <c r="H19" s="15">
        <f>C19/C18-1</f>
        <v>0.198127925117005</v>
      </c>
      <c r="I19" s="15">
        <f>(E19+G19-F19-C19)/C19</f>
        <v>-0.970052083333333</v>
      </c>
      <c r="J19" s="15">
        <f>AVERAGE(I16:I19)</f>
        <v>-0.912268882649644</v>
      </c>
      <c r="K19" s="15"/>
    </row>
    <row r="20" ht="20.05" customHeight="1">
      <c r="B20" s="33">
        <v>2019</v>
      </c>
      <c r="C20" s="18">
        <v>821</v>
      </c>
      <c r="D20" s="23"/>
      <c r="E20" s="19">
        <v>7</v>
      </c>
      <c r="F20" s="19"/>
      <c r="G20" s="19">
        <v>67</v>
      </c>
      <c r="H20" s="15">
        <f>C20/C19-1</f>
        <v>0.0690104166666667</v>
      </c>
      <c r="I20" s="15">
        <f>(E20+G20-F20-C20)/C20</f>
        <v>-0.909866017052375</v>
      </c>
      <c r="J20" s="15">
        <f>AVERAGE(I17:I20)</f>
        <v>-0.916567847645722</v>
      </c>
      <c r="K20" s="15"/>
    </row>
    <row r="21" ht="20.05" customHeight="1">
      <c r="B21" s="32"/>
      <c r="C21" s="18">
        <v>546</v>
      </c>
      <c r="D21" s="23"/>
      <c r="E21" s="19">
        <v>8</v>
      </c>
      <c r="F21" s="19"/>
      <c r="G21" s="19">
        <v>39</v>
      </c>
      <c r="H21" s="15">
        <f>C21/C20-1</f>
        <v>-0.334957369062119</v>
      </c>
      <c r="I21" s="15">
        <f>(E21+G21-F21-C21)/C21</f>
        <v>-0.913919413919414</v>
      </c>
      <c r="J21" s="15">
        <f>AVERAGE(I18:I21)</f>
        <v>-0.918818192928855</v>
      </c>
      <c r="K21" s="15"/>
    </row>
    <row r="22" ht="20.05" customHeight="1">
      <c r="B22" s="32"/>
      <c r="C22" s="18">
        <v>583</v>
      </c>
      <c r="D22" s="19">
        <v>583</v>
      </c>
      <c r="E22" s="19">
        <v>9</v>
      </c>
      <c r="F22" s="19"/>
      <c r="G22" s="19">
        <v>37</v>
      </c>
      <c r="H22" s="15">
        <f>C22/C21-1</f>
        <v>0.0677655677655678</v>
      </c>
      <c r="I22" s="15">
        <f>(E22+G22-F22-C22)/C22</f>
        <v>-0.921097770154374</v>
      </c>
      <c r="J22" s="15">
        <f>AVERAGE(I19:I22)</f>
        <v>-0.928733821114874</v>
      </c>
      <c r="K22" s="15"/>
    </row>
    <row r="23" ht="20.05" customHeight="1">
      <c r="B23" s="32"/>
      <c r="C23" s="18">
        <v>525</v>
      </c>
      <c r="D23" s="17">
        <v>768</v>
      </c>
      <c r="E23" s="19">
        <v>16</v>
      </c>
      <c r="F23" s="19"/>
      <c r="G23" s="19">
        <v>32</v>
      </c>
      <c r="H23" s="15">
        <f>C23/C22-1</f>
        <v>-0.09948542024013721</v>
      </c>
      <c r="I23" s="15">
        <f>(E23+G23-F23-C23)/C23</f>
        <v>-0.908571428571429</v>
      </c>
      <c r="J23" s="15">
        <f>AVERAGE(I20:I23)</f>
        <v>-0.913363657424398</v>
      </c>
      <c r="K23" s="15"/>
    </row>
    <row r="24" ht="20.05" customHeight="1">
      <c r="B24" s="33">
        <v>2020</v>
      </c>
      <c r="C24" s="18">
        <v>726</v>
      </c>
      <c r="D24" s="23">
        <v>740</v>
      </c>
      <c r="E24" s="19">
        <v>9</v>
      </c>
      <c r="F24" s="19">
        <f>43-4</f>
        <v>39</v>
      </c>
      <c r="G24" s="19">
        <v>61</v>
      </c>
      <c r="H24" s="15">
        <f>C24/C23-1</f>
        <v>0.382857142857143</v>
      </c>
      <c r="I24" s="15">
        <f>(E24+G24-F24-C24)/C24</f>
        <v>-0.957300275482094</v>
      </c>
      <c r="J24" s="15">
        <f>AVERAGE(I21:I24)</f>
        <v>-0.925222222031828</v>
      </c>
      <c r="K24" s="15"/>
    </row>
    <row r="25" ht="20.05" customHeight="1">
      <c r="B25" s="32"/>
      <c r="C25" s="18">
        <v>475</v>
      </c>
      <c r="D25" s="17">
        <v>436.8</v>
      </c>
      <c r="E25" s="19">
        <v>9.1</v>
      </c>
      <c r="F25" s="19">
        <f>43-34.8-F24</f>
        <v>-30.8</v>
      </c>
      <c r="G25" s="19">
        <v>-11</v>
      </c>
      <c r="H25" s="15">
        <f>C25/C24-1</f>
        <v>-0.345730027548209</v>
      </c>
      <c r="I25" s="15">
        <f>(E25+G25-F25-C25)/C25</f>
        <v>-0.939157894736842</v>
      </c>
      <c r="J25" s="15">
        <f>AVERAGE(I22:I25)</f>
        <v>-0.931531842236185</v>
      </c>
      <c r="K25" s="15"/>
    </row>
    <row r="26" ht="20.05" customHeight="1">
      <c r="B26" s="32"/>
      <c r="C26" s="18">
        <v>606</v>
      </c>
      <c r="D26" s="17">
        <v>546.25</v>
      </c>
      <c r="E26" s="19">
        <v>9.9</v>
      </c>
      <c r="F26" s="19">
        <f>56.9-38.1-SUM(F24:F25)</f>
        <v>10.6</v>
      </c>
      <c r="G26" s="19">
        <v>85</v>
      </c>
      <c r="H26" s="15">
        <f>C26/C25-1</f>
        <v>0.275789473684211</v>
      </c>
      <c r="I26" s="15">
        <f>(E26+G26-F26-C26)/C26</f>
        <v>-0.860891089108911</v>
      </c>
      <c r="J26" s="15">
        <f>AVERAGE(I23:I26)</f>
        <v>-0.916480171974819</v>
      </c>
      <c r="K26" s="15"/>
    </row>
    <row r="27" ht="20.05" customHeight="1">
      <c r="B27" s="32"/>
      <c r="C27" s="18">
        <f>2292.7-SUM(C24:C26)</f>
        <v>485.7</v>
      </c>
      <c r="D27" s="17">
        <v>727.2</v>
      </c>
      <c r="E27" s="19">
        <f>40.1-SUM(E24:E26)</f>
        <v>12.1</v>
      </c>
      <c r="F27" s="19">
        <f>42.2-32.9-SUM(F24:F26)</f>
        <v>-9.5</v>
      </c>
      <c r="G27" s="19">
        <f>108.6-SUM(G24:G26)</f>
        <v>-26.4</v>
      </c>
      <c r="H27" s="15">
        <f>C27/C26-1</f>
        <v>-0.198514851485149</v>
      </c>
      <c r="I27" s="15">
        <f>(E27+G27-F27-C27)/C27</f>
        <v>-1.00988264360716</v>
      </c>
      <c r="J27" s="15">
        <f>AVERAGE(I24:I27)</f>
        <v>-0.941807975733752</v>
      </c>
      <c r="K27" s="15"/>
    </row>
    <row r="28" ht="20.05" customHeight="1">
      <c r="B28" s="33">
        <v>2021</v>
      </c>
      <c r="C28" s="22">
        <v>459</v>
      </c>
      <c r="D28" s="17">
        <v>490.557</v>
      </c>
      <c r="E28" s="17">
        <v>8.199999999999999</v>
      </c>
      <c r="F28" s="19">
        <f>-0.3+6.2</f>
        <v>5.9</v>
      </c>
      <c r="G28" s="19">
        <v>31</v>
      </c>
      <c r="H28" s="15">
        <f>C28/C27-1</f>
        <v>-0.0549722050648548</v>
      </c>
      <c r="I28" s="15">
        <f>(E28+G28-F28-C28)/C28</f>
        <v>-0.927450980392157</v>
      </c>
      <c r="J28" s="15">
        <f>AVERAGE(I25:I28)</f>
        <v>-0.934345651961268</v>
      </c>
      <c r="K28" s="15"/>
    </row>
    <row r="29" ht="20.05" customHeight="1">
      <c r="B29" s="32"/>
      <c r="C29" s="18">
        <f>845.6-C28</f>
        <v>386.6</v>
      </c>
      <c r="D29" s="17">
        <v>500.31</v>
      </c>
      <c r="E29" s="17">
        <f>16.4-E28</f>
        <v>8.199999999999999</v>
      </c>
      <c r="F29" s="19">
        <f>-13.7-2.3+8.6-F28</f>
        <v>-13.3</v>
      </c>
      <c r="G29" s="19">
        <f>51.5-G28</f>
        <v>20.5</v>
      </c>
      <c r="H29" s="15">
        <f>C29/C28-1</f>
        <v>-0.157734204793028</v>
      </c>
      <c r="I29" s="15">
        <f>(E29+G29-F29-C29)/C29</f>
        <v>-0.891360579410243</v>
      </c>
      <c r="J29" s="15">
        <f>AVERAGE(I26:I29)</f>
        <v>-0.9223963231296179</v>
      </c>
      <c r="K29" s="15"/>
    </row>
    <row r="30" ht="20.05" customHeight="1">
      <c r="B30" s="32"/>
      <c r="C30" s="18">
        <f>1357.8-SUM(C28:C29)</f>
        <v>512.2</v>
      </c>
      <c r="D30" s="23">
        <v>421.394</v>
      </c>
      <c r="E30" s="19">
        <f>9.7+14.6+(8.5-7.7)-SUM(E28:E29)</f>
        <v>8.699999999999999</v>
      </c>
      <c r="F30" s="19">
        <f>-3.9-9.3+8.6-SUM(F28:F29)</f>
        <v>2.8</v>
      </c>
      <c r="G30" s="19">
        <f>75.7-SUM(G28:G29)</f>
        <v>24.2</v>
      </c>
      <c r="H30" s="15">
        <f>C30/C29-1</f>
        <v>0.324883600620797</v>
      </c>
      <c r="I30" s="15">
        <f>(E30+G30-F30-C30)/C30</f>
        <v>-0.9412338930105431</v>
      </c>
      <c r="J30" s="15">
        <f>AVERAGE(I27:I30)</f>
        <v>-0.942482024105026</v>
      </c>
      <c r="K30" s="15"/>
    </row>
    <row r="31" ht="20.05" customHeight="1">
      <c r="B31" s="32"/>
      <c r="C31" s="18">
        <f>1745.1-SUM(C28:C30)</f>
        <v>387.3</v>
      </c>
      <c r="D31" s="23">
        <v>691.47</v>
      </c>
      <c r="E31" s="17">
        <f>32.3-SUM(E28:E30)</f>
        <v>7.2</v>
      </c>
      <c r="F31" s="19">
        <f>-5.4+9.8-SUM(F28:F30)</f>
        <v>9</v>
      </c>
      <c r="G31" s="19">
        <f>101.6-SUM(G28:G30)</f>
        <v>25.9</v>
      </c>
      <c r="H31" s="15">
        <f>C31/C30-1</f>
        <v>-0.243850058570871</v>
      </c>
      <c r="I31" s="15">
        <f>(E31+G31-F31-C31)/C31</f>
        <v>-0.937774335140718</v>
      </c>
      <c r="J31" s="15">
        <f>AVERAGE(I28:I31)</f>
        <v>-0.924454946988415</v>
      </c>
      <c r="K31" s="15"/>
    </row>
    <row r="32" ht="20.05" customHeight="1">
      <c r="B32" s="33">
        <v>2022</v>
      </c>
      <c r="C32" s="18">
        <v>596</v>
      </c>
      <c r="D32" s="23">
        <v>691.47</v>
      </c>
      <c r="E32" s="23">
        <v>7</v>
      </c>
      <c r="F32" s="19"/>
      <c r="G32" s="19">
        <v>27</v>
      </c>
      <c r="H32" s="15">
        <f>C32/C31-1</f>
        <v>0.538858765814614</v>
      </c>
      <c r="I32" s="15">
        <f>(E32+G32-F32-C32)/C32</f>
        <v>-0.942953020134228</v>
      </c>
      <c r="J32" s="15">
        <f>AVERAGE(I29:I32)</f>
        <v>-0.928330456923933</v>
      </c>
      <c r="K32" s="11">
        <v>-0.9162972362103931</v>
      </c>
    </row>
    <row r="33" ht="20.05" customHeight="1">
      <c r="B33" s="32"/>
      <c r="C33" s="18"/>
      <c r="D33" s="23">
        <f>'Model'!C6</f>
        <v>613.88</v>
      </c>
      <c r="E33" s="23"/>
      <c r="F33" s="23"/>
      <c r="G33" s="19"/>
      <c r="H33" s="11"/>
      <c r="I33" s="11"/>
      <c r="J33" s="11"/>
      <c r="K33" s="11">
        <f>'Model'!C7</f>
        <v>-0.913363657424398</v>
      </c>
    </row>
    <row r="34" ht="20.05" customHeight="1">
      <c r="B34" s="32"/>
      <c r="C34" s="18"/>
      <c r="D34" s="17">
        <f>'Model'!D6</f>
        <v>632.2963999999999</v>
      </c>
      <c r="E34" s="23"/>
      <c r="F34" s="23"/>
      <c r="G34" s="19"/>
      <c r="H34" s="11"/>
      <c r="I34" s="11"/>
      <c r="J34" s="11"/>
      <c r="K34" s="11"/>
    </row>
    <row r="35" ht="20.05" customHeight="1">
      <c r="B35" s="32"/>
      <c r="C35" s="18"/>
      <c r="D35" s="17">
        <f>'Model'!E6</f>
        <v>758.75568</v>
      </c>
      <c r="E35" s="19">
        <f>SUM(C22:C32)</f>
        <v>5741.8</v>
      </c>
      <c r="F35" s="19">
        <f>SUM(D22:D32)</f>
        <v>6596.451</v>
      </c>
      <c r="G35" s="19"/>
      <c r="H35" s="11"/>
      <c r="I35" s="11"/>
      <c r="J35" s="11"/>
      <c r="K35" s="11"/>
    </row>
    <row r="36" ht="20.05" customHeight="1">
      <c r="B36" s="33">
        <v>2023</v>
      </c>
      <c r="C36" s="18"/>
      <c r="D36" s="17">
        <f>'Model'!F6</f>
        <v>751.1681232</v>
      </c>
      <c r="E36" s="23"/>
      <c r="F36" s="23"/>
      <c r="G36" s="19"/>
      <c r="H36" s="11"/>
      <c r="I36" s="11"/>
      <c r="J36" s="11"/>
      <c r="K36" s="11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67969" style="34" customWidth="1"/>
    <col min="2" max="2" width="8.42969" style="34" customWidth="1"/>
    <col min="3" max="4" width="11.9844" style="34" customWidth="1"/>
    <col min="5" max="5" width="11.75" style="34" customWidth="1"/>
    <col min="6" max="6" width="11.9844" style="34" customWidth="1"/>
    <col min="7" max="15" width="11.0078" style="34" customWidth="1"/>
    <col min="16" max="16384" width="16.3516" style="34" customWidth="1"/>
  </cols>
  <sheetData>
    <row r="1" ht="38.9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47</v>
      </c>
      <c r="C3" t="s" s="5">
        <v>48</v>
      </c>
      <c r="D3" t="s" s="5">
        <v>8</v>
      </c>
      <c r="E3" t="s" s="5">
        <v>9</v>
      </c>
      <c r="F3" t="s" s="5">
        <v>49</v>
      </c>
      <c r="G3" t="s" s="5">
        <v>50</v>
      </c>
      <c r="H3" t="s" s="5">
        <v>14</v>
      </c>
      <c r="I3" t="s" s="5">
        <v>51</v>
      </c>
      <c r="J3" t="s" s="5">
        <v>52</v>
      </c>
      <c r="K3" t="s" s="5">
        <v>34</v>
      </c>
      <c r="L3" t="s" s="5">
        <v>36</v>
      </c>
      <c r="M3" t="s" s="5">
        <v>30</v>
      </c>
      <c r="N3" t="s" s="5">
        <v>36</v>
      </c>
      <c r="O3" s="35"/>
    </row>
    <row r="4" ht="20.25" customHeight="1">
      <c r="B4" s="27">
        <v>2015</v>
      </c>
      <c r="C4" s="28"/>
      <c r="D4" s="30">
        <v>28</v>
      </c>
      <c r="E4" s="30">
        <v>24</v>
      </c>
      <c r="F4" s="30"/>
      <c r="G4" s="30"/>
      <c r="H4" s="30"/>
      <c r="I4" s="30">
        <v>1</v>
      </c>
      <c r="J4" s="30">
        <f>D4+E4</f>
        <v>52</v>
      </c>
      <c r="K4" s="30"/>
      <c r="L4" s="30"/>
      <c r="M4" s="30">
        <f>-I4</f>
        <v>-1</v>
      </c>
      <c r="N4" s="30"/>
      <c r="O4" s="30">
        <v>1</v>
      </c>
    </row>
    <row r="5" ht="20.05" customHeight="1">
      <c r="B5" s="32"/>
      <c r="C5" s="18"/>
      <c r="D5" s="19">
        <v>111</v>
      </c>
      <c r="E5" s="19">
        <v>-68</v>
      </c>
      <c r="F5" s="19"/>
      <c r="G5" s="19"/>
      <c r="H5" s="19"/>
      <c r="I5" s="19">
        <v>-69</v>
      </c>
      <c r="J5" s="19">
        <f>D5+E5</f>
        <v>43</v>
      </c>
      <c r="K5" s="19"/>
      <c r="L5" s="19"/>
      <c r="M5" s="19">
        <f>-I5+M4</f>
        <v>68</v>
      </c>
      <c r="N5" s="19"/>
      <c r="O5" s="19">
        <f>1+O4</f>
        <v>2</v>
      </c>
    </row>
    <row r="6" ht="20.05" customHeight="1">
      <c r="B6" s="32"/>
      <c r="C6" s="18"/>
      <c r="D6" s="19">
        <v>155</v>
      </c>
      <c r="E6" s="19">
        <v>-3</v>
      </c>
      <c r="F6" s="19"/>
      <c r="G6" s="19"/>
      <c r="H6" s="19"/>
      <c r="I6" s="19">
        <v>-30</v>
      </c>
      <c r="J6" s="19">
        <f>D6+E6</f>
        <v>152</v>
      </c>
      <c r="K6" s="19"/>
      <c r="L6" s="19"/>
      <c r="M6" s="19">
        <f>-I6+M5</f>
        <v>98</v>
      </c>
      <c r="N6" s="19"/>
      <c r="O6" s="19">
        <f>1+O5</f>
        <v>3</v>
      </c>
    </row>
    <row r="7" ht="20.05" customHeight="1">
      <c r="B7" s="32"/>
      <c r="C7" s="18"/>
      <c r="D7" s="19">
        <v>12</v>
      </c>
      <c r="E7" s="19">
        <v>-72</v>
      </c>
      <c r="F7" s="19"/>
      <c r="G7" s="19"/>
      <c r="H7" s="19"/>
      <c r="I7" s="19">
        <v>55</v>
      </c>
      <c r="J7" s="19">
        <f>D7+E7</f>
        <v>-60</v>
      </c>
      <c r="K7" s="19"/>
      <c r="L7" s="19"/>
      <c r="M7" s="19">
        <f>-I7+M6</f>
        <v>43</v>
      </c>
      <c r="N7" s="19"/>
      <c r="O7" s="19">
        <f>1+O6</f>
        <v>4</v>
      </c>
    </row>
    <row r="8" ht="20.05" customHeight="1">
      <c r="B8" s="33">
        <v>2016</v>
      </c>
      <c r="C8" s="18"/>
      <c r="D8" s="19">
        <v>-60</v>
      </c>
      <c r="E8" s="19">
        <v>-2</v>
      </c>
      <c r="F8" s="19"/>
      <c r="G8" s="19"/>
      <c r="H8" s="19"/>
      <c r="I8" s="19">
        <v>-4</v>
      </c>
      <c r="J8" s="19">
        <f>D8+E8</f>
        <v>-62</v>
      </c>
      <c r="K8" s="19">
        <f>AVERAGE(J5:J8)</f>
        <v>18.25</v>
      </c>
      <c r="L8" s="19"/>
      <c r="M8" s="19">
        <f>-I8+M7</f>
        <v>47</v>
      </c>
      <c r="N8" s="19"/>
      <c r="O8" s="19">
        <f>1+O7</f>
        <v>5</v>
      </c>
    </row>
    <row r="9" ht="20.05" customHeight="1">
      <c r="B9" s="32"/>
      <c r="C9" s="18"/>
      <c r="D9" s="19">
        <v>35</v>
      </c>
      <c r="E9" s="19">
        <v>-77</v>
      </c>
      <c r="F9" s="19"/>
      <c r="G9" s="19"/>
      <c r="H9" s="19"/>
      <c r="I9" s="19">
        <v>-141</v>
      </c>
      <c r="J9" s="19">
        <f>D9+E9</f>
        <v>-42</v>
      </c>
      <c r="K9" s="19">
        <f>AVERAGE(J6:J9)</f>
        <v>-3</v>
      </c>
      <c r="L9" s="19"/>
      <c r="M9" s="19">
        <f>-I9+M8</f>
        <v>188</v>
      </c>
      <c r="N9" s="19"/>
      <c r="O9" s="19">
        <f>1+O8</f>
        <v>6</v>
      </c>
    </row>
    <row r="10" ht="20.05" customHeight="1">
      <c r="B10" s="32"/>
      <c r="C10" s="18"/>
      <c r="D10" s="19">
        <v>-32</v>
      </c>
      <c r="E10" s="19">
        <v>-26</v>
      </c>
      <c r="F10" s="19"/>
      <c r="G10" s="19"/>
      <c r="H10" s="19"/>
      <c r="I10" s="19">
        <v>-3</v>
      </c>
      <c r="J10" s="19">
        <f>D10+E10</f>
        <v>-58</v>
      </c>
      <c r="K10" s="19">
        <f>AVERAGE(J7:J10)</f>
        <v>-55.5</v>
      </c>
      <c r="L10" s="19"/>
      <c r="M10" s="19">
        <f>-I10+M9</f>
        <v>191</v>
      </c>
      <c r="N10" s="19"/>
      <c r="O10" s="19">
        <f>1+O9</f>
        <v>7</v>
      </c>
    </row>
    <row r="11" ht="20.05" customHeight="1">
      <c r="B11" s="32"/>
      <c r="C11" s="18"/>
      <c r="D11" s="19">
        <v>266</v>
      </c>
      <c r="E11" s="19">
        <v>-38</v>
      </c>
      <c r="F11" s="19"/>
      <c r="G11" s="19"/>
      <c r="H11" s="19"/>
      <c r="I11" s="19">
        <v>-1</v>
      </c>
      <c r="J11" s="19">
        <f>D11+E11</f>
        <v>228</v>
      </c>
      <c r="K11" s="19">
        <f>AVERAGE(J8:J11)</f>
        <v>16.5</v>
      </c>
      <c r="L11" s="19"/>
      <c r="M11" s="19">
        <f>-I11+M10</f>
        <v>192</v>
      </c>
      <c r="N11" s="19"/>
      <c r="O11" s="19">
        <f>1+O10</f>
        <v>8</v>
      </c>
    </row>
    <row r="12" ht="20.05" customHeight="1">
      <c r="B12" s="33">
        <v>2017</v>
      </c>
      <c r="C12" s="18">
        <v>563</v>
      </c>
      <c r="D12" s="19">
        <v>-106</v>
      </c>
      <c r="E12" s="19">
        <v>6</v>
      </c>
      <c r="F12" s="19"/>
      <c r="G12" s="19"/>
      <c r="H12" s="19"/>
      <c r="I12" s="19">
        <v>-1</v>
      </c>
      <c r="J12" s="19">
        <f>D12+E12</f>
        <v>-100</v>
      </c>
      <c r="K12" s="19">
        <f>AVERAGE(J9:J12)</f>
        <v>7</v>
      </c>
      <c r="L12" s="19"/>
      <c r="M12" s="19">
        <f>-I12+M11</f>
        <v>193</v>
      </c>
      <c r="N12" s="19"/>
      <c r="O12" s="19">
        <f>1+O11</f>
        <v>9</v>
      </c>
    </row>
    <row r="13" ht="20.05" customHeight="1">
      <c r="B13" s="32"/>
      <c r="C13" s="18">
        <v>672</v>
      </c>
      <c r="D13" s="19">
        <v>28</v>
      </c>
      <c r="E13" s="19">
        <v>-5</v>
      </c>
      <c r="F13" s="19"/>
      <c r="G13" s="19"/>
      <c r="H13" s="19"/>
      <c r="I13" s="19">
        <v>-156</v>
      </c>
      <c r="J13" s="19">
        <f>D13+E13</f>
        <v>23</v>
      </c>
      <c r="K13" s="19">
        <f>AVERAGE(J10:J13)</f>
        <v>23.25</v>
      </c>
      <c r="L13" s="19"/>
      <c r="M13" s="19">
        <f>-I13+M12</f>
        <v>349</v>
      </c>
      <c r="N13" s="19"/>
      <c r="O13" s="19">
        <f>1+O12</f>
        <v>10</v>
      </c>
    </row>
    <row r="14" ht="20.05" customHeight="1">
      <c r="B14" s="32"/>
      <c r="C14" s="18">
        <v>778</v>
      </c>
      <c r="D14" s="19">
        <v>229</v>
      </c>
      <c r="E14" s="19">
        <v>-27</v>
      </c>
      <c r="F14" s="19"/>
      <c r="G14" s="19"/>
      <c r="H14" s="19"/>
      <c r="I14" s="19">
        <v>-2</v>
      </c>
      <c r="J14" s="19">
        <f>D14+E14</f>
        <v>202</v>
      </c>
      <c r="K14" s="19">
        <f>AVERAGE(J11:J14)</f>
        <v>88.25</v>
      </c>
      <c r="L14" s="19"/>
      <c r="M14" s="19">
        <f>-I14+M13</f>
        <v>351</v>
      </c>
      <c r="N14" s="19"/>
      <c r="O14" s="19">
        <f>1+O13</f>
        <v>11</v>
      </c>
    </row>
    <row r="15" ht="20.05" customHeight="1">
      <c r="B15" s="32"/>
      <c r="C15" s="18">
        <v>608</v>
      </c>
      <c r="D15" s="19">
        <v>76</v>
      </c>
      <c r="E15" s="19">
        <v>-19</v>
      </c>
      <c r="F15" s="19"/>
      <c r="G15" s="19"/>
      <c r="H15" s="19"/>
      <c r="I15" s="19">
        <v>-3</v>
      </c>
      <c r="J15" s="19">
        <f>D15+E15</f>
        <v>57</v>
      </c>
      <c r="K15" s="19">
        <f>AVERAGE(J12:J15)</f>
        <v>45.5</v>
      </c>
      <c r="L15" s="19"/>
      <c r="M15" s="19">
        <f>-I15+M14</f>
        <v>354</v>
      </c>
      <c r="N15" s="19"/>
      <c r="O15" s="19">
        <f>1+O14</f>
        <v>12</v>
      </c>
    </row>
    <row r="16" ht="20.05" customHeight="1">
      <c r="B16" s="33">
        <v>2018</v>
      </c>
      <c r="C16" s="18">
        <v>585</v>
      </c>
      <c r="D16" s="19">
        <v>-83</v>
      </c>
      <c r="E16" s="19">
        <v>3</v>
      </c>
      <c r="F16" s="19"/>
      <c r="G16" s="19"/>
      <c r="H16" s="19"/>
      <c r="I16" s="19">
        <v>-2</v>
      </c>
      <c r="J16" s="19">
        <f>D16+E16</f>
        <v>-80</v>
      </c>
      <c r="K16" s="19">
        <f>AVERAGE(J13:J16)</f>
        <v>50.5</v>
      </c>
      <c r="L16" s="19"/>
      <c r="M16" s="19">
        <f>-I16+M15</f>
        <v>356</v>
      </c>
      <c r="N16" s="19"/>
      <c r="O16" s="19">
        <f>1+O15</f>
        <v>13</v>
      </c>
    </row>
    <row r="17" ht="20.05" customHeight="1">
      <c r="B17" s="32"/>
      <c r="C17" s="18">
        <v>786</v>
      </c>
      <c r="D17" s="19">
        <v>32</v>
      </c>
      <c r="E17" s="19">
        <v>17</v>
      </c>
      <c r="F17" s="19"/>
      <c r="G17" s="19"/>
      <c r="H17" s="19"/>
      <c r="I17" s="19">
        <v>-169</v>
      </c>
      <c r="J17" s="19">
        <f>D17+E17</f>
        <v>49</v>
      </c>
      <c r="K17" s="19">
        <f>AVERAGE(J14:J17)</f>
        <v>57</v>
      </c>
      <c r="L17" s="19"/>
      <c r="M17" s="19">
        <f>-I17+M16</f>
        <v>525</v>
      </c>
      <c r="N17" s="19"/>
      <c r="O17" s="19">
        <f>1+O16</f>
        <v>14</v>
      </c>
    </row>
    <row r="18" ht="20.05" customHeight="1">
      <c r="B18" s="32"/>
      <c r="C18" s="18">
        <v>610</v>
      </c>
      <c r="D18" s="19">
        <v>3</v>
      </c>
      <c r="E18" s="19">
        <v>2</v>
      </c>
      <c r="F18" s="19"/>
      <c r="G18" s="19"/>
      <c r="H18" s="19"/>
      <c r="I18" s="19">
        <v>4</v>
      </c>
      <c r="J18" s="19">
        <f>D18+E18</f>
        <v>5</v>
      </c>
      <c r="K18" s="19">
        <f>AVERAGE(J15:J18)</f>
        <v>7.75</v>
      </c>
      <c r="L18" s="19"/>
      <c r="M18" s="19">
        <f>-I18+M17</f>
        <v>521</v>
      </c>
      <c r="N18" s="19"/>
      <c r="O18" s="19">
        <f>1+O17</f>
        <v>15</v>
      </c>
    </row>
    <row r="19" ht="20.05" customHeight="1">
      <c r="B19" s="32"/>
      <c r="C19" s="18">
        <v>635</v>
      </c>
      <c r="D19" s="19">
        <v>206</v>
      </c>
      <c r="E19" s="19">
        <v>1</v>
      </c>
      <c r="F19" s="19"/>
      <c r="G19" s="19"/>
      <c r="H19" s="19"/>
      <c r="I19" s="19">
        <v>0</v>
      </c>
      <c r="J19" s="19">
        <f>D19+E19</f>
        <v>207</v>
      </c>
      <c r="K19" s="19">
        <f>AVERAGE(J16:J19)</f>
        <v>45.25</v>
      </c>
      <c r="L19" s="19"/>
      <c r="M19" s="19">
        <f>-I19+M18</f>
        <v>521</v>
      </c>
      <c r="N19" s="19"/>
      <c r="O19" s="19">
        <f>1+O18</f>
        <v>16</v>
      </c>
    </row>
    <row r="20" ht="20.05" customHeight="1">
      <c r="B20" s="33">
        <v>2019</v>
      </c>
      <c r="C20" s="18">
        <v>611</v>
      </c>
      <c r="D20" s="19">
        <v>-40</v>
      </c>
      <c r="E20" s="19">
        <v>-17</v>
      </c>
      <c r="F20" s="19"/>
      <c r="G20" s="19"/>
      <c r="H20" s="19"/>
      <c r="I20" s="19">
        <v>0</v>
      </c>
      <c r="J20" s="19">
        <f>D20+E20</f>
        <v>-57</v>
      </c>
      <c r="K20" s="19">
        <f>AVERAGE(J17:J20)</f>
        <v>51</v>
      </c>
      <c r="L20" s="19"/>
      <c r="M20" s="19">
        <f>-I20+M19</f>
        <v>521</v>
      </c>
      <c r="N20" s="19"/>
      <c r="O20" s="19">
        <f>1+O19</f>
        <v>17</v>
      </c>
    </row>
    <row r="21" ht="20.05" customHeight="1">
      <c r="B21" s="32"/>
      <c r="C21" s="18">
        <v>738</v>
      </c>
      <c r="D21" s="19">
        <v>10</v>
      </c>
      <c r="E21" s="19">
        <v>2</v>
      </c>
      <c r="F21" s="19"/>
      <c r="G21" s="19"/>
      <c r="H21" s="19"/>
      <c r="I21" s="19">
        <v>-136</v>
      </c>
      <c r="J21" s="19">
        <f>D21+E21</f>
        <v>12</v>
      </c>
      <c r="K21" s="19">
        <f>AVERAGE(J18:J21)</f>
        <v>41.75</v>
      </c>
      <c r="L21" s="19"/>
      <c r="M21" s="19">
        <f>-I21+M20</f>
        <v>657</v>
      </c>
      <c r="N21" s="19"/>
      <c r="O21" s="19">
        <f>1+O20</f>
        <v>18</v>
      </c>
    </row>
    <row r="22" ht="20.05" customHeight="1">
      <c r="B22" s="32"/>
      <c r="C22" s="18">
        <v>730</v>
      </c>
      <c r="D22" s="19">
        <v>99</v>
      </c>
      <c r="E22" s="19">
        <v>-6</v>
      </c>
      <c r="F22" s="19"/>
      <c r="G22" s="19"/>
      <c r="H22" s="19"/>
      <c r="I22" s="19">
        <v>0</v>
      </c>
      <c r="J22" s="19">
        <f>D22+E22</f>
        <v>93</v>
      </c>
      <c r="K22" s="19">
        <f>AVERAGE(J19:J22)</f>
        <v>63.75</v>
      </c>
      <c r="L22" s="19"/>
      <c r="M22" s="19">
        <f>-I22+M21</f>
        <v>657</v>
      </c>
      <c r="N22" s="19"/>
      <c r="O22" s="19">
        <f>1+O21</f>
        <v>19</v>
      </c>
    </row>
    <row r="23" ht="20.05" customHeight="1">
      <c r="B23" s="32"/>
      <c r="C23" s="18">
        <v>590</v>
      </c>
      <c r="D23" s="19">
        <v>86</v>
      </c>
      <c r="E23" s="19">
        <v>-22</v>
      </c>
      <c r="F23" s="19"/>
      <c r="G23" s="19"/>
      <c r="H23" s="19"/>
      <c r="I23" s="19">
        <v>0</v>
      </c>
      <c r="J23" s="19">
        <f>D23+E23</f>
        <v>64</v>
      </c>
      <c r="K23" s="19">
        <f>AVERAGE(J20:J23)</f>
        <v>28</v>
      </c>
      <c r="L23" s="19"/>
      <c r="M23" s="19">
        <f>-I23+M22</f>
        <v>657</v>
      </c>
      <c r="N23" s="19"/>
      <c r="O23" s="19">
        <f>1+O22</f>
        <v>20</v>
      </c>
    </row>
    <row r="24" ht="20.05" customHeight="1">
      <c r="B24" s="33">
        <v>2020</v>
      </c>
      <c r="C24" s="18">
        <v>556</v>
      </c>
      <c r="D24" s="19">
        <v>-61</v>
      </c>
      <c r="E24" s="19">
        <v>20</v>
      </c>
      <c r="F24" s="19"/>
      <c r="G24" s="19">
        <f>I24-H24-F24</f>
        <v>0</v>
      </c>
      <c r="H24" s="19">
        <v>0</v>
      </c>
      <c r="I24" s="19">
        <v>0</v>
      </c>
      <c r="J24" s="19">
        <f>D24+E24</f>
        <v>-41</v>
      </c>
      <c r="K24" s="19">
        <f>AVERAGE(J21:J24)</f>
        <v>32</v>
      </c>
      <c r="L24" s="19"/>
      <c r="M24" s="19">
        <f>-I24+M23</f>
        <v>657</v>
      </c>
      <c r="N24" s="19"/>
      <c r="O24" s="19">
        <f>1+O23</f>
        <v>21</v>
      </c>
    </row>
    <row r="25" ht="20.05" customHeight="1">
      <c r="B25" s="32"/>
      <c r="C25" s="18">
        <v>437</v>
      </c>
      <c r="D25" s="19">
        <v>-94</v>
      </c>
      <c r="E25" s="19">
        <v>-10.7</v>
      </c>
      <c r="F25" s="19"/>
      <c r="G25" s="19">
        <f>I25-H25-F25</f>
        <v>0</v>
      </c>
      <c r="H25" s="19">
        <v>0</v>
      </c>
      <c r="I25" s="19">
        <v>0</v>
      </c>
      <c r="J25" s="19">
        <f>D25+E25</f>
        <v>-104.7</v>
      </c>
      <c r="K25" s="19">
        <f>AVERAGE(J22:J25)</f>
        <v>2.825</v>
      </c>
      <c r="L25" s="19"/>
      <c r="M25" s="19">
        <f>-I25+M24</f>
        <v>657</v>
      </c>
      <c r="N25" s="19"/>
      <c r="O25" s="19">
        <f>1+O24</f>
        <v>22</v>
      </c>
    </row>
    <row r="26" ht="20.05" customHeight="1">
      <c r="B26" s="32"/>
      <c r="C26" s="18">
        <v>610</v>
      </c>
      <c r="D26" s="19">
        <v>71</v>
      </c>
      <c r="E26" s="19">
        <v>33.7</v>
      </c>
      <c r="F26" s="19"/>
      <c r="G26" s="19">
        <f>I26-H26-F26</f>
        <v>0.1</v>
      </c>
      <c r="H26" s="19">
        <f>-34.1</f>
        <v>-34.1</v>
      </c>
      <c r="I26" s="19">
        <v>-34</v>
      </c>
      <c r="J26" s="19">
        <f>D26+E26</f>
        <v>104.7</v>
      </c>
      <c r="K26" s="19">
        <f>AVERAGE(J23:J26)</f>
        <v>5.75</v>
      </c>
      <c r="L26" s="19"/>
      <c r="M26" s="19">
        <f>-I26+M25</f>
        <v>691</v>
      </c>
      <c r="N26" s="19"/>
      <c r="O26" s="19">
        <f>1+O25</f>
        <v>23</v>
      </c>
    </row>
    <row r="27" ht="20.05" customHeight="1">
      <c r="B27" s="32"/>
      <c r="C27" s="18">
        <f>2009.2-SUM(C24:C26)</f>
        <v>406.2</v>
      </c>
      <c r="D27" s="19">
        <f>-59.7-SUM(D24:D26)</f>
        <v>24.3</v>
      </c>
      <c r="E27" s="19">
        <f>41.5-SUM(E24:E26)</f>
        <v>-1.5</v>
      </c>
      <c r="F27" s="19">
        <f>-1.6-SUM(F24:F26)</f>
        <v>-1.6</v>
      </c>
      <c r="G27" s="19">
        <f>I27-H27-F27</f>
        <v>-0.1</v>
      </c>
      <c r="H27" s="19">
        <f>-34.1-SUM(H24:H26)</f>
        <v>0</v>
      </c>
      <c r="I27" s="19">
        <f>-35.7-SUM(I24:I26)</f>
        <v>-1.7</v>
      </c>
      <c r="J27" s="19">
        <f>D27+E27</f>
        <v>22.8</v>
      </c>
      <c r="K27" s="19">
        <f>AVERAGE(J24:J27)</f>
        <v>-4.55</v>
      </c>
      <c r="L27" s="19"/>
      <c r="M27" s="19">
        <f>-I27+M26</f>
        <v>692.7</v>
      </c>
      <c r="N27" s="19"/>
      <c r="O27" s="19">
        <f>1+O26</f>
        <v>24</v>
      </c>
    </row>
    <row r="28" ht="20.05" customHeight="1">
      <c r="B28" s="33">
        <v>2021</v>
      </c>
      <c r="C28" s="18">
        <v>578</v>
      </c>
      <c r="D28" s="19">
        <v>63</v>
      </c>
      <c r="E28" s="19">
        <v>-18</v>
      </c>
      <c r="F28" s="19"/>
      <c r="G28" s="19">
        <f>I28-H28-F28</f>
        <v>0</v>
      </c>
      <c r="H28" s="19">
        <v>0</v>
      </c>
      <c r="I28" s="19">
        <v>0</v>
      </c>
      <c r="J28" s="19">
        <f>D28+E28</f>
        <v>45</v>
      </c>
      <c r="K28" s="19">
        <f>AVERAGE(J25:J28)</f>
        <v>16.95</v>
      </c>
      <c r="L28" s="19"/>
      <c r="M28" s="19">
        <f>-I28+M27</f>
        <v>692.7</v>
      </c>
      <c r="N28" s="19"/>
      <c r="O28" s="19">
        <f>1+O27</f>
        <v>25</v>
      </c>
    </row>
    <row r="29" ht="20.05" customHeight="1">
      <c r="B29" s="32"/>
      <c r="C29" s="18">
        <f>1066-C28</f>
        <v>488</v>
      </c>
      <c r="D29" s="19">
        <f>31.3-D28</f>
        <v>-31.7</v>
      </c>
      <c r="E29" s="19">
        <f>-28.5-E28</f>
        <v>-10.5</v>
      </c>
      <c r="F29" s="19"/>
      <c r="G29" s="19">
        <f>I29-H29-F29</f>
        <v>0</v>
      </c>
      <c r="H29" s="19">
        <v>-34.1</v>
      </c>
      <c r="I29" s="19">
        <f>-34.1-I28</f>
        <v>-34.1</v>
      </c>
      <c r="J29" s="19">
        <f>D29+E29</f>
        <v>-42.2</v>
      </c>
      <c r="K29" s="19">
        <f>AVERAGE(J26:J29)</f>
        <v>32.575</v>
      </c>
      <c r="L29" s="19"/>
      <c r="M29" s="19">
        <f>-I29+M28</f>
        <v>726.8</v>
      </c>
      <c r="N29" s="19"/>
      <c r="O29" s="19">
        <f>1+O28</f>
        <v>26</v>
      </c>
    </row>
    <row r="30" ht="20.05" customHeight="1">
      <c r="B30" s="32"/>
      <c r="C30" s="18">
        <f>1446.9-SUM(C28:C29)</f>
        <v>380.9</v>
      </c>
      <c r="D30" s="19">
        <f>-0.7-SUM(D28:D29)</f>
        <v>-32</v>
      </c>
      <c r="E30" s="19">
        <f>62.4-SUM(E28:E29)</f>
        <v>90.90000000000001</v>
      </c>
      <c r="F30" s="19"/>
      <c r="G30" s="19">
        <f>I30-H30-F30</f>
        <v>0</v>
      </c>
      <c r="H30" s="19">
        <v>0</v>
      </c>
      <c r="I30" s="19">
        <f>-34.1-SUM(I28:I29)</f>
        <v>0</v>
      </c>
      <c r="J30" s="19">
        <f>D30+E30</f>
        <v>58.9</v>
      </c>
      <c r="K30" s="19">
        <f>AVERAGE(J27:J30)</f>
        <v>21.125</v>
      </c>
      <c r="L30" s="19"/>
      <c r="M30" s="19">
        <f>-I30+M29</f>
        <v>726.8</v>
      </c>
      <c r="N30" s="19"/>
      <c r="O30" s="19">
        <f>1+O29</f>
        <v>27</v>
      </c>
    </row>
    <row r="31" ht="20.05" customHeight="1">
      <c r="B31" s="32"/>
      <c r="C31" s="18">
        <f>2134.5-SUM(C28:C30)</f>
        <v>687.6</v>
      </c>
      <c r="D31" s="19">
        <f>137-SUM(D28:D30)</f>
        <v>137.7</v>
      </c>
      <c r="E31" s="19">
        <f>49.9-SUM(E28:E30)</f>
        <v>-12.5</v>
      </c>
      <c r="F31" s="19">
        <f>-2-SUM(F28:F30)</f>
        <v>-2</v>
      </c>
      <c r="G31" s="19">
        <f>I31-H31-F31</f>
        <v>0</v>
      </c>
      <c r="H31" s="19">
        <f>-34.1-SUM(H28:H30)</f>
        <v>0</v>
      </c>
      <c r="I31" s="19">
        <f>-36.1-SUM(I28:I30)</f>
        <v>-2</v>
      </c>
      <c r="J31" s="19">
        <f>D31+E31</f>
        <v>125.2</v>
      </c>
      <c r="K31" s="19">
        <f>AVERAGE(J28:J31)</f>
        <v>46.725</v>
      </c>
      <c r="L31" s="19"/>
      <c r="M31" s="19">
        <f>-I31+M30</f>
        <v>728.8</v>
      </c>
      <c r="N31" s="19"/>
      <c r="O31" s="19">
        <f>1+O30</f>
        <v>28</v>
      </c>
    </row>
    <row r="32" ht="20.05" customHeight="1">
      <c r="B32" s="33">
        <v>2022</v>
      </c>
      <c r="C32" s="18">
        <v>556</v>
      </c>
      <c r="D32" s="19">
        <v>121</v>
      </c>
      <c r="E32" s="19">
        <v>-18.6</v>
      </c>
      <c r="F32" s="19">
        <v>0</v>
      </c>
      <c r="G32" s="19">
        <v>0</v>
      </c>
      <c r="H32" s="19">
        <v>0</v>
      </c>
      <c r="I32" s="19">
        <v>0</v>
      </c>
      <c r="J32" s="19">
        <f>D32+E32</f>
        <v>102.4</v>
      </c>
      <c r="K32" s="19">
        <f>AVERAGE(J29:J32)</f>
        <v>61.075</v>
      </c>
      <c r="L32" s="19">
        <v>60.469052978835</v>
      </c>
      <c r="M32" s="19">
        <f>-I32+M31</f>
        <v>728.8</v>
      </c>
      <c r="N32" s="19">
        <v>956.964319327387</v>
      </c>
      <c r="O32" s="19">
        <f>1+O31</f>
        <v>29</v>
      </c>
    </row>
    <row r="33" ht="20.05" customHeight="1">
      <c r="B33" s="32"/>
      <c r="C33" s="18"/>
      <c r="D33" s="19"/>
      <c r="E33" s="19"/>
      <c r="F33" s="19"/>
      <c r="G33" s="19"/>
      <c r="H33" s="19"/>
      <c r="I33" s="19"/>
      <c r="J33" s="19"/>
      <c r="K33" s="24"/>
      <c r="L33" s="19">
        <f>SUM('Model'!F9:F10)</f>
        <v>49.528458853427</v>
      </c>
      <c r="M33" s="24"/>
      <c r="N33" s="19">
        <f>'Model'!F33</f>
        <v>905.378441377122</v>
      </c>
      <c r="O33" s="19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6875" style="36" customWidth="1"/>
    <col min="2" max="10" width="9.60156" style="36" customWidth="1"/>
    <col min="11" max="16384" width="16.3516" style="36" customWidth="1"/>
  </cols>
  <sheetData>
    <row r="1" ht="27.65" customHeight="1">
      <c r="A1" t="s" s="2">
        <v>22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5">
        <v>1</v>
      </c>
      <c r="B2" t="s" s="5">
        <v>53</v>
      </c>
      <c r="C2" t="s" s="5">
        <v>54</v>
      </c>
      <c r="D2" t="s" s="5">
        <v>55</v>
      </c>
      <c r="E2" t="s" s="5">
        <v>24</v>
      </c>
      <c r="F2" t="s" s="5">
        <v>11</v>
      </c>
      <c r="G2" t="s" s="5">
        <v>26</v>
      </c>
      <c r="H2" t="s" s="5">
        <v>56</v>
      </c>
      <c r="I2" t="s" s="5">
        <v>57</v>
      </c>
      <c r="J2" t="s" s="5">
        <v>36</v>
      </c>
    </row>
    <row r="3" ht="20.25" customHeight="1">
      <c r="A3" s="27">
        <v>2015</v>
      </c>
      <c r="B3" s="28">
        <v>632</v>
      </c>
      <c r="C3" s="30">
        <v>2556</v>
      </c>
      <c r="D3" s="30">
        <f>C3-B3</f>
        <v>1924</v>
      </c>
      <c r="E3" s="30"/>
      <c r="F3" s="30">
        <v>1704</v>
      </c>
      <c r="G3" s="30">
        <v>852</v>
      </c>
      <c r="H3" s="30">
        <f>F3+G3-B3-D3</f>
        <v>0</v>
      </c>
      <c r="I3" s="30">
        <f>B3-F3</f>
        <v>-1072</v>
      </c>
      <c r="J3" s="30"/>
    </row>
    <row r="4" ht="20.05" customHeight="1">
      <c r="A4" s="32"/>
      <c r="B4" s="18">
        <v>607</v>
      </c>
      <c r="C4" s="19">
        <v>2571</v>
      </c>
      <c r="D4" s="19">
        <f>C4-B4</f>
        <v>1964</v>
      </c>
      <c r="E4" s="19"/>
      <c r="F4" s="19">
        <v>1754</v>
      </c>
      <c r="G4" s="19">
        <v>817</v>
      </c>
      <c r="H4" s="19">
        <f>F4+G4-B4-D4</f>
        <v>0</v>
      </c>
      <c r="I4" s="19">
        <f>B4-F4</f>
        <v>-1147</v>
      </c>
      <c r="J4" s="19"/>
    </row>
    <row r="5" ht="20.05" customHeight="1">
      <c r="A5" s="32"/>
      <c r="B5" s="18">
        <v>722</v>
      </c>
      <c r="C5" s="19">
        <v>2845</v>
      </c>
      <c r="D5" s="19">
        <f>C5-B5</f>
        <v>2123</v>
      </c>
      <c r="E5" s="19"/>
      <c r="F5" s="19">
        <v>1981</v>
      </c>
      <c r="G5" s="19">
        <v>863</v>
      </c>
      <c r="H5" s="19">
        <f>F5+G5-B5-D5</f>
        <v>-1</v>
      </c>
      <c r="I5" s="19">
        <f>B5-F5</f>
        <v>-1259</v>
      </c>
      <c r="J5" s="19"/>
    </row>
    <row r="6" ht="20.05" customHeight="1">
      <c r="A6" s="32"/>
      <c r="B6" s="18">
        <v>733</v>
      </c>
      <c r="C6" s="19">
        <v>2846</v>
      </c>
      <c r="D6" s="19">
        <f>C6-B6</f>
        <v>2113</v>
      </c>
      <c r="E6" s="19"/>
      <c r="F6" s="19">
        <v>1980</v>
      </c>
      <c r="G6" s="19">
        <v>866</v>
      </c>
      <c r="H6" s="19">
        <f>F6+G6-B6-D6</f>
        <v>0</v>
      </c>
      <c r="I6" s="19">
        <f>B6-F6</f>
        <v>-1247</v>
      </c>
      <c r="J6" s="19"/>
    </row>
    <row r="7" ht="20.05" customHeight="1">
      <c r="A7" s="33">
        <v>2016</v>
      </c>
      <c r="B7" s="18">
        <v>665</v>
      </c>
      <c r="C7" s="19">
        <v>2903</v>
      </c>
      <c r="D7" s="19">
        <f>C7-B7</f>
        <v>2238</v>
      </c>
      <c r="E7" s="19"/>
      <c r="F7" s="19">
        <v>1975</v>
      </c>
      <c r="G7" s="19">
        <v>928</v>
      </c>
      <c r="H7" s="19">
        <f>F7+G7-B7-D7</f>
        <v>0</v>
      </c>
      <c r="I7" s="19">
        <f>B7-F7</f>
        <v>-1310</v>
      </c>
      <c r="J7" s="19"/>
    </row>
    <row r="8" ht="20.05" customHeight="1">
      <c r="A8" s="32"/>
      <c r="B8" s="18">
        <v>484</v>
      </c>
      <c r="C8" s="19">
        <v>2685</v>
      </c>
      <c r="D8" s="19">
        <f>C8-B8</f>
        <v>2201</v>
      </c>
      <c r="E8" s="19"/>
      <c r="F8" s="19">
        <v>1838</v>
      </c>
      <c r="G8" s="19">
        <v>847</v>
      </c>
      <c r="H8" s="19">
        <f>F8+G8-B8-D8</f>
        <v>0</v>
      </c>
      <c r="I8" s="19">
        <f>B8-F8</f>
        <v>-1354</v>
      </c>
      <c r="J8" s="19"/>
    </row>
    <row r="9" ht="20.05" customHeight="1">
      <c r="A9" s="32"/>
      <c r="B9" s="18">
        <v>419</v>
      </c>
      <c r="C9" s="19">
        <v>2704</v>
      </c>
      <c r="D9" s="19">
        <f>C9-B9</f>
        <v>2285</v>
      </c>
      <c r="E9" s="19"/>
      <c r="F9" s="19">
        <v>1815</v>
      </c>
      <c r="G9" s="19">
        <v>889</v>
      </c>
      <c r="H9" s="19">
        <f>F9+G9-B9-D9</f>
        <v>0</v>
      </c>
      <c r="I9" s="19">
        <f>B9-F9</f>
        <v>-1396</v>
      </c>
      <c r="J9" s="19"/>
    </row>
    <row r="10" ht="20.05" customHeight="1">
      <c r="A10" s="32"/>
      <c r="B10" s="18">
        <v>656</v>
      </c>
      <c r="C10" s="19">
        <v>2951</v>
      </c>
      <c r="D10" s="19">
        <f>C10-B10</f>
        <v>2295</v>
      </c>
      <c r="E10" s="19"/>
      <c r="F10" s="19">
        <v>2008</v>
      </c>
      <c r="G10" s="19">
        <v>943</v>
      </c>
      <c r="H10" s="19">
        <f>F10+G10-B10-D10</f>
        <v>0</v>
      </c>
      <c r="I10" s="19">
        <f>B10-F10</f>
        <v>-1352</v>
      </c>
      <c r="J10" s="19"/>
    </row>
    <row r="11" ht="20.05" customHeight="1">
      <c r="A11" s="33">
        <v>2017</v>
      </c>
      <c r="B11" s="18">
        <v>556</v>
      </c>
      <c r="C11" s="19">
        <v>2961</v>
      </c>
      <c r="D11" s="19">
        <f>C11-B11</f>
        <v>2405</v>
      </c>
      <c r="E11" s="19"/>
      <c r="F11" s="19">
        <v>1956</v>
      </c>
      <c r="G11" s="19">
        <v>1005</v>
      </c>
      <c r="H11" s="19">
        <f>F11+G11-B11-D11</f>
        <v>0</v>
      </c>
      <c r="I11" s="19">
        <f>B11-F11</f>
        <v>-1400</v>
      </c>
      <c r="J11" s="19"/>
    </row>
    <row r="12" ht="20.05" customHeight="1">
      <c r="A12" s="32"/>
      <c r="B12" s="18">
        <v>423</v>
      </c>
      <c r="C12" s="19">
        <v>2974</v>
      </c>
      <c r="D12" s="19">
        <f>C12-B12</f>
        <v>2551</v>
      </c>
      <c r="E12" s="19"/>
      <c r="F12" s="19">
        <v>2064</v>
      </c>
      <c r="G12" s="19">
        <v>909</v>
      </c>
      <c r="H12" s="19">
        <f>F12+G12-B12-D12</f>
        <v>-1</v>
      </c>
      <c r="I12" s="19">
        <f>B12-F12</f>
        <v>-1641</v>
      </c>
      <c r="J12" s="19"/>
    </row>
    <row r="13" ht="20.05" customHeight="1">
      <c r="A13" s="32"/>
      <c r="B13" s="18">
        <v>621</v>
      </c>
      <c r="C13" s="19">
        <v>3060</v>
      </c>
      <c r="D13" s="19">
        <f>C13-B13</f>
        <v>2439</v>
      </c>
      <c r="E13" s="19"/>
      <c r="F13" s="19">
        <v>2089</v>
      </c>
      <c r="G13" s="19">
        <v>971</v>
      </c>
      <c r="H13" s="19">
        <f>F13+G13-B13-D13</f>
        <v>0</v>
      </c>
      <c r="I13" s="19">
        <f>B13-F13</f>
        <v>-1468</v>
      </c>
      <c r="J13" s="19"/>
    </row>
    <row r="14" ht="20.05" customHeight="1">
      <c r="A14" s="32"/>
      <c r="B14" s="18">
        <v>671</v>
      </c>
      <c r="C14" s="19">
        <v>3243</v>
      </c>
      <c r="D14" s="19">
        <f>C14-B14</f>
        <v>2572</v>
      </c>
      <c r="E14" s="19"/>
      <c r="F14" s="19">
        <v>2233</v>
      </c>
      <c r="G14" s="19">
        <v>1011</v>
      </c>
      <c r="H14" s="19">
        <f>F14+G14-B14-D14</f>
        <v>1</v>
      </c>
      <c r="I14" s="19">
        <f>B14-F14</f>
        <v>-1562</v>
      </c>
      <c r="J14" s="19"/>
    </row>
    <row r="15" ht="20.05" customHeight="1">
      <c r="A15" s="33">
        <v>2018</v>
      </c>
      <c r="B15" s="18">
        <v>591</v>
      </c>
      <c r="C15" s="19">
        <v>3240</v>
      </c>
      <c r="D15" s="19">
        <f>C15-B15</f>
        <v>2649</v>
      </c>
      <c r="E15" s="19"/>
      <c r="F15" s="19">
        <v>2158</v>
      </c>
      <c r="G15" s="19">
        <v>1082</v>
      </c>
      <c r="H15" s="19">
        <f>F15+G15-B15-D15</f>
        <v>0</v>
      </c>
      <c r="I15" s="19">
        <f>B15-F15</f>
        <v>-1567</v>
      </c>
      <c r="J15" s="19"/>
    </row>
    <row r="16" ht="20.05" customHeight="1">
      <c r="A16" s="32"/>
      <c r="B16" s="18">
        <v>476</v>
      </c>
      <c r="C16" s="19">
        <v>2958</v>
      </c>
      <c r="D16" s="19">
        <f>C16-B16</f>
        <v>2482</v>
      </c>
      <c r="E16" s="19"/>
      <c r="F16" s="19">
        <v>1999</v>
      </c>
      <c r="G16" s="19">
        <v>959</v>
      </c>
      <c r="H16" s="19">
        <f>F16+G16-B16-D16</f>
        <v>0</v>
      </c>
      <c r="I16" s="19">
        <f>B16-F16</f>
        <v>-1523</v>
      </c>
      <c r="J16" s="19"/>
    </row>
    <row r="17" ht="20.05" customHeight="1">
      <c r="A17" s="32"/>
      <c r="B17" s="18">
        <v>489</v>
      </c>
      <c r="C17" s="19">
        <v>2987</v>
      </c>
      <c r="D17" s="19">
        <f>C17-B17</f>
        <v>2498</v>
      </c>
      <c r="E17" s="19"/>
      <c r="F17" s="19">
        <v>1959</v>
      </c>
      <c r="G17" s="19">
        <v>1027</v>
      </c>
      <c r="H17" s="19">
        <f>F17+G17-B17-D17</f>
        <v>-1</v>
      </c>
      <c r="I17" s="19">
        <f>B17-F17</f>
        <v>-1470</v>
      </c>
      <c r="J17" s="19"/>
    </row>
    <row r="18" ht="20.05" customHeight="1">
      <c r="A18" s="32"/>
      <c r="B18" s="18">
        <v>676</v>
      </c>
      <c r="C18" s="19">
        <v>3228</v>
      </c>
      <c r="D18" s="19">
        <f>C18-B18</f>
        <v>2552</v>
      </c>
      <c r="E18" s="19"/>
      <c r="F18" s="19">
        <v>2177</v>
      </c>
      <c r="G18" s="19">
        <v>1052</v>
      </c>
      <c r="H18" s="19">
        <f>F18+G18-B18-D18</f>
        <v>1</v>
      </c>
      <c r="I18" s="19">
        <f>B18-F18</f>
        <v>-1501</v>
      </c>
      <c r="J18" s="19"/>
    </row>
    <row r="19" ht="20.05" customHeight="1">
      <c r="A19" s="33">
        <v>2019</v>
      </c>
      <c r="B19" s="18">
        <v>617</v>
      </c>
      <c r="C19" s="19">
        <v>3310</v>
      </c>
      <c r="D19" s="19">
        <f>C19-B19</f>
        <v>2693</v>
      </c>
      <c r="E19" s="19"/>
      <c r="F19" s="19">
        <v>2191</v>
      </c>
      <c r="G19" s="19">
        <v>1119</v>
      </c>
      <c r="H19" s="19">
        <f>F19+G19-B19-D19</f>
        <v>0</v>
      </c>
      <c r="I19" s="19">
        <f>B19-F19</f>
        <v>-1574</v>
      </c>
      <c r="J19" s="19"/>
    </row>
    <row r="20" ht="20.05" customHeight="1">
      <c r="A20" s="32"/>
      <c r="B20" s="18">
        <v>491</v>
      </c>
      <c r="C20" s="19">
        <v>2982</v>
      </c>
      <c r="D20" s="19">
        <f>C20-B20</f>
        <v>2491</v>
      </c>
      <c r="E20" s="19"/>
      <c r="F20" s="19">
        <v>1959</v>
      </c>
      <c r="G20" s="19">
        <v>1022</v>
      </c>
      <c r="H20" s="19">
        <f>F20+G20-B20-D20</f>
        <v>-1</v>
      </c>
      <c r="I20" s="19">
        <f>B20-F20</f>
        <v>-1468</v>
      </c>
      <c r="J20" s="19"/>
    </row>
    <row r="21" ht="20.05" customHeight="1">
      <c r="A21" s="32"/>
      <c r="B21" s="18">
        <v>584</v>
      </c>
      <c r="C21" s="19">
        <v>2915</v>
      </c>
      <c r="D21" s="19">
        <f>C21-B21</f>
        <v>2331</v>
      </c>
      <c r="E21" s="19"/>
      <c r="F21" s="19">
        <v>1856</v>
      </c>
      <c r="G21" s="19">
        <v>1059</v>
      </c>
      <c r="H21" s="19">
        <f>F21+G21-B21-D21</f>
        <v>0</v>
      </c>
      <c r="I21" s="19">
        <f>B21-F21</f>
        <v>-1272</v>
      </c>
      <c r="J21" s="19"/>
    </row>
    <row r="22" ht="20.05" customHeight="1">
      <c r="A22" s="32"/>
      <c r="B22" s="18">
        <v>657</v>
      </c>
      <c r="C22" s="19">
        <v>2963</v>
      </c>
      <c r="D22" s="19">
        <f>C22-B22</f>
        <v>2306</v>
      </c>
      <c r="E22" s="19"/>
      <c r="F22" s="19">
        <v>1886</v>
      </c>
      <c r="G22" s="19">
        <v>1077</v>
      </c>
      <c r="H22" s="19">
        <f>F22+G22-B22-D22</f>
        <v>0</v>
      </c>
      <c r="I22" s="19">
        <f>B22-F22</f>
        <v>-1229</v>
      </c>
      <c r="J22" s="19"/>
    </row>
    <row r="23" ht="20.05" customHeight="1">
      <c r="A23" s="33">
        <v>2020</v>
      </c>
      <c r="B23" s="18">
        <v>648</v>
      </c>
      <c r="C23" s="19">
        <v>3069</v>
      </c>
      <c r="D23" s="19">
        <f>C23-B23</f>
        <v>2421</v>
      </c>
      <c r="E23" s="19"/>
      <c r="F23" s="19">
        <v>1931</v>
      </c>
      <c r="G23" s="19">
        <v>1138</v>
      </c>
      <c r="H23" s="19">
        <f>F23+G23-B23-D23</f>
        <v>0</v>
      </c>
      <c r="I23" s="19">
        <f>B23-F23</f>
        <v>-1283</v>
      </c>
      <c r="J23" s="19"/>
    </row>
    <row r="24" ht="20.05" customHeight="1">
      <c r="A24" s="32"/>
      <c r="B24" s="18">
        <v>516</v>
      </c>
      <c r="C24" s="19">
        <v>2998</v>
      </c>
      <c r="D24" s="19">
        <f>C24-B24</f>
        <v>2482</v>
      </c>
      <c r="E24" s="19">
        <f>221+53</f>
        <v>274</v>
      </c>
      <c r="F24" s="19">
        <v>1871</v>
      </c>
      <c r="G24" s="19">
        <v>1127</v>
      </c>
      <c r="H24" s="19">
        <f>F24+G24-B24-D24</f>
        <v>0</v>
      </c>
      <c r="I24" s="19">
        <f>B24-F24</f>
        <v>-1355</v>
      </c>
      <c r="J24" s="19"/>
    </row>
    <row r="25" ht="20.05" customHeight="1">
      <c r="A25" s="32"/>
      <c r="B25" s="18">
        <v>593</v>
      </c>
      <c r="C25" s="19">
        <v>3005</v>
      </c>
      <c r="D25" s="19">
        <f>C25-B25</f>
        <v>2412</v>
      </c>
      <c r="E25" s="19">
        <v>283.9</v>
      </c>
      <c r="F25" s="19">
        <v>1877</v>
      </c>
      <c r="G25" s="19">
        <v>1128</v>
      </c>
      <c r="H25" s="19">
        <f>F25+G25-B25-D25</f>
        <v>0</v>
      </c>
      <c r="I25" s="19">
        <f>B25-F25</f>
        <v>-1284</v>
      </c>
      <c r="J25" s="19"/>
    </row>
    <row r="26" ht="20.05" customHeight="1">
      <c r="A26" s="32"/>
      <c r="B26" s="18">
        <v>608</v>
      </c>
      <c r="C26" s="19">
        <v>2889</v>
      </c>
      <c r="D26" s="19">
        <f>C26-B26</f>
        <v>2281</v>
      </c>
      <c r="E26" s="23">
        <f>2+59+238</f>
        <v>299</v>
      </c>
      <c r="F26" s="19">
        <v>1750</v>
      </c>
      <c r="G26" s="19">
        <v>1139</v>
      </c>
      <c r="H26" s="19">
        <f>F26+G26-B26-D26</f>
        <v>0</v>
      </c>
      <c r="I26" s="19">
        <f>B26-F26</f>
        <v>-1142</v>
      </c>
      <c r="J26" s="19"/>
    </row>
    <row r="27" ht="20.05" customHeight="1">
      <c r="A27" s="33">
        <v>2021</v>
      </c>
      <c r="B27" s="18">
        <v>656</v>
      </c>
      <c r="C27" s="19">
        <v>2835</v>
      </c>
      <c r="D27" s="19">
        <f>C27-B27</f>
        <v>2179</v>
      </c>
      <c r="E27" s="17">
        <f>E26+'Sales'!E28</f>
        <v>307.2</v>
      </c>
      <c r="F27" s="19">
        <v>1665</v>
      </c>
      <c r="G27" s="19">
        <v>1170</v>
      </c>
      <c r="H27" s="19">
        <f>F27+G27-B27-D27</f>
        <v>0</v>
      </c>
      <c r="I27" s="19">
        <f>B27-F27</f>
        <v>-1009</v>
      </c>
      <c r="J27" s="19"/>
    </row>
    <row r="28" ht="20.05" customHeight="1">
      <c r="A28" s="32"/>
      <c r="B28" s="18">
        <v>581</v>
      </c>
      <c r="C28" s="19">
        <v>2686</v>
      </c>
      <c r="D28" s="19">
        <f>C28-B28</f>
        <v>2105</v>
      </c>
      <c r="E28" s="23">
        <f>65+246</f>
        <v>311</v>
      </c>
      <c r="F28" s="19">
        <v>1529</v>
      </c>
      <c r="G28" s="19">
        <v>1157</v>
      </c>
      <c r="H28" s="19">
        <f>F28+G28-B28-D28</f>
        <v>0</v>
      </c>
      <c r="I28" s="19">
        <f>B28-F28</f>
        <v>-948</v>
      </c>
      <c r="J28" s="19"/>
    </row>
    <row r="29" ht="20.05" customHeight="1">
      <c r="A29" s="32"/>
      <c r="B29" s="18">
        <v>639</v>
      </c>
      <c r="C29" s="19">
        <v>2674</v>
      </c>
      <c r="D29" s="19">
        <f>C29-B29</f>
        <v>2035</v>
      </c>
      <c r="E29" s="23">
        <f>68+250+8</f>
        <v>326</v>
      </c>
      <c r="F29" s="19">
        <v>1493</v>
      </c>
      <c r="G29" s="19">
        <v>1181</v>
      </c>
      <c r="H29" s="19">
        <f>F29+G29-B29-D29</f>
        <v>0</v>
      </c>
      <c r="I29" s="19">
        <f>B29-F29</f>
        <v>-854</v>
      </c>
      <c r="J29" s="19"/>
    </row>
    <row r="30" ht="20.05" customHeight="1">
      <c r="A30" s="32"/>
      <c r="B30" s="18">
        <v>760</v>
      </c>
      <c r="C30" s="19">
        <v>2727</v>
      </c>
      <c r="D30" s="19">
        <f>C30-B30</f>
        <v>1967</v>
      </c>
      <c r="E30" s="23">
        <f t="shared" si="87" ref="E30:E31">72+252</f>
        <v>324</v>
      </c>
      <c r="F30" s="19">
        <v>1495</v>
      </c>
      <c r="G30" s="19">
        <v>1232</v>
      </c>
      <c r="H30" s="19">
        <f>F30+G30-B30-D30</f>
        <v>0</v>
      </c>
      <c r="I30" s="19">
        <f>B30-F30</f>
        <v>-735</v>
      </c>
      <c r="J30" s="19"/>
    </row>
    <row r="31" ht="20.05" customHeight="1">
      <c r="A31" s="33">
        <v>2022</v>
      </c>
      <c r="B31" s="18">
        <f>B30+'Cashflow'!D32+'Cashflow'!E32+'Cashflow'!I32</f>
        <v>862.4</v>
      </c>
      <c r="C31" s="19">
        <v>2429</v>
      </c>
      <c r="D31" s="19">
        <f>C31-B31</f>
        <v>1566.6</v>
      </c>
      <c r="E31" s="23">
        <f t="shared" si="87"/>
        <v>324</v>
      </c>
      <c r="F31" s="19">
        <v>1840</v>
      </c>
      <c r="G31" s="19">
        <f>C31-F31</f>
        <v>589</v>
      </c>
      <c r="H31" s="19">
        <f>F31+G31-B31-D31</f>
        <v>0</v>
      </c>
      <c r="I31" s="19">
        <f>B31-F31</f>
        <v>-977.6</v>
      </c>
      <c r="J31" s="19">
        <v>-684.244976470829</v>
      </c>
    </row>
    <row r="32" ht="20.05" customHeight="1">
      <c r="A32" s="32"/>
      <c r="B32" s="18"/>
      <c r="C32" s="19"/>
      <c r="D32" s="19"/>
      <c r="E32" s="23"/>
      <c r="F32" s="19"/>
      <c r="G32" s="19"/>
      <c r="H32" s="19"/>
      <c r="I32" s="19"/>
      <c r="J32" s="19">
        <f>'Model'!F31</f>
        <v>-843.177246898302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3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7" customWidth="1"/>
    <col min="2" max="2" width="7.55469" style="37" customWidth="1"/>
    <col min="3" max="5" width="11.0547" style="37" customWidth="1"/>
    <col min="6" max="16384" width="16.3516" style="37" customWidth="1"/>
  </cols>
  <sheetData>
    <row r="1" ht="40" customHeight="1"/>
    <row r="2" ht="27.65" customHeight="1">
      <c r="B2" t="s" s="2">
        <v>58</v>
      </c>
      <c r="C2" s="2"/>
      <c r="D2" s="2"/>
      <c r="E2" s="2"/>
    </row>
    <row r="3" ht="32.25" customHeight="1">
      <c r="B3" s="4"/>
      <c r="C3" t="s" s="38">
        <v>59</v>
      </c>
      <c r="D3" t="s" s="38">
        <v>39</v>
      </c>
      <c r="E3" t="s" s="38">
        <v>60</v>
      </c>
    </row>
    <row r="4" ht="20.25" customHeight="1">
      <c r="B4" s="27">
        <v>2014</v>
      </c>
      <c r="C4" s="28">
        <v>840</v>
      </c>
      <c r="D4" s="30"/>
      <c r="E4" s="30"/>
    </row>
    <row r="5" ht="20.05" customHeight="1">
      <c r="B5" s="32"/>
      <c r="C5" s="18">
        <v>720</v>
      </c>
      <c r="D5" s="19"/>
      <c r="E5" s="19"/>
    </row>
    <row r="6" ht="20.05" customHeight="1">
      <c r="B6" s="32"/>
      <c r="C6" s="18">
        <v>955</v>
      </c>
      <c r="D6" s="19"/>
      <c r="E6" s="19"/>
    </row>
    <row r="7" ht="20.05" customHeight="1">
      <c r="B7" s="32"/>
      <c r="C7" s="18">
        <v>1120</v>
      </c>
      <c r="D7" s="19"/>
      <c r="E7" s="19"/>
    </row>
    <row r="8" ht="20.05" customHeight="1">
      <c r="B8" s="33">
        <v>2015</v>
      </c>
      <c r="C8" s="18">
        <v>1005</v>
      </c>
      <c r="D8" s="19"/>
      <c r="E8" s="19"/>
    </row>
    <row r="9" ht="20.05" customHeight="1">
      <c r="B9" s="32"/>
      <c r="C9" s="18">
        <v>825</v>
      </c>
      <c r="D9" s="19"/>
      <c r="E9" s="19"/>
    </row>
    <row r="10" ht="20.05" customHeight="1">
      <c r="B10" s="32"/>
      <c r="C10" s="18">
        <v>585</v>
      </c>
      <c r="D10" s="19"/>
      <c r="E10" s="19"/>
    </row>
    <row r="11" ht="20.05" customHeight="1">
      <c r="B11" s="32"/>
      <c r="C11" s="18">
        <v>615</v>
      </c>
      <c r="D11" s="19"/>
      <c r="E11" s="19"/>
    </row>
    <row r="12" ht="20.05" customHeight="1">
      <c r="B12" s="33">
        <v>2016</v>
      </c>
      <c r="C12" s="18">
        <v>700</v>
      </c>
      <c r="D12" s="19"/>
      <c r="E12" s="19"/>
    </row>
    <row r="13" ht="20.05" customHeight="1">
      <c r="B13" s="32"/>
      <c r="C13" s="18">
        <v>770</v>
      </c>
      <c r="D13" s="19"/>
      <c r="E13" s="19"/>
    </row>
    <row r="14" ht="20.05" customHeight="1">
      <c r="B14" s="32"/>
      <c r="C14" s="18">
        <v>805</v>
      </c>
      <c r="D14" s="19"/>
      <c r="E14" s="19"/>
    </row>
    <row r="15" ht="20.05" customHeight="1">
      <c r="B15" s="32"/>
      <c r="C15" s="18">
        <v>765</v>
      </c>
      <c r="D15" s="19"/>
      <c r="E15" s="19"/>
    </row>
    <row r="16" ht="20.05" customHeight="1">
      <c r="B16" s="33">
        <v>2017</v>
      </c>
      <c r="C16" s="18">
        <v>810</v>
      </c>
      <c r="D16" s="19"/>
      <c r="E16" s="19"/>
    </row>
    <row r="17" ht="20.05" customHeight="1">
      <c r="B17" s="32"/>
      <c r="C17" s="18">
        <v>740</v>
      </c>
      <c r="D17" s="19"/>
      <c r="E17" s="19"/>
    </row>
    <row r="18" ht="20.05" customHeight="1">
      <c r="B18" s="32"/>
      <c r="C18" s="18">
        <v>750</v>
      </c>
      <c r="D18" s="19"/>
      <c r="E18" s="19"/>
    </row>
    <row r="19" ht="20.05" customHeight="1">
      <c r="B19" s="32"/>
      <c r="C19" s="18">
        <v>660</v>
      </c>
      <c r="D19" s="19"/>
      <c r="E19" s="19"/>
    </row>
    <row r="20" ht="20.05" customHeight="1">
      <c r="B20" s="33">
        <v>2018</v>
      </c>
      <c r="C20" s="18">
        <v>700</v>
      </c>
      <c r="D20" s="19"/>
      <c r="E20" s="19"/>
    </row>
    <row r="21" ht="20.05" customHeight="1">
      <c r="B21" s="32"/>
      <c r="C21" s="18">
        <v>625</v>
      </c>
      <c r="D21" s="19"/>
      <c r="E21" s="19"/>
    </row>
    <row r="22" ht="20.05" customHeight="1">
      <c r="B22" s="32"/>
      <c r="C22" s="18">
        <v>590</v>
      </c>
      <c r="D22" s="19"/>
      <c r="E22" s="19"/>
    </row>
    <row r="23" ht="20.05" customHeight="1">
      <c r="B23" s="32"/>
      <c r="C23" s="18">
        <v>560</v>
      </c>
      <c r="D23" s="19"/>
      <c r="E23" s="19"/>
    </row>
    <row r="24" ht="20.05" customHeight="1">
      <c r="B24" s="33">
        <v>2019</v>
      </c>
      <c r="C24" s="18">
        <v>630</v>
      </c>
      <c r="D24" s="19"/>
      <c r="E24" s="19"/>
    </row>
    <row r="25" ht="20.05" customHeight="1">
      <c r="B25" s="32"/>
      <c r="C25" s="18">
        <v>560</v>
      </c>
      <c r="D25" s="19"/>
      <c r="E25" s="19"/>
    </row>
    <row r="26" ht="20.05" customHeight="1">
      <c r="B26" s="32"/>
      <c r="C26" s="18">
        <v>450</v>
      </c>
      <c r="D26" s="19"/>
      <c r="E26" s="19"/>
    </row>
    <row r="27" ht="20.05" customHeight="1">
      <c r="B27" s="32"/>
      <c r="C27" s="18">
        <v>436</v>
      </c>
      <c r="D27" s="24"/>
      <c r="E27" s="24"/>
    </row>
    <row r="28" ht="20.05" customHeight="1">
      <c r="B28" s="33">
        <v>2020</v>
      </c>
      <c r="C28" s="18">
        <v>310</v>
      </c>
      <c r="D28" s="24"/>
      <c r="E28" s="24"/>
    </row>
    <row r="29" ht="20.05" customHeight="1">
      <c r="B29" s="32"/>
      <c r="C29" s="18">
        <v>328</v>
      </c>
      <c r="D29" s="24"/>
      <c r="E29" s="24"/>
    </row>
    <row r="30" ht="20.05" customHeight="1">
      <c r="B30" s="32"/>
      <c r="C30" s="18">
        <v>264</v>
      </c>
      <c r="D30" s="24"/>
      <c r="E30" s="24"/>
    </row>
    <row r="31" ht="20.05" customHeight="1">
      <c r="B31" s="32"/>
      <c r="C31" s="18">
        <v>370</v>
      </c>
      <c r="D31" s="24"/>
      <c r="E31" s="24"/>
    </row>
    <row r="32" ht="20.05" customHeight="1">
      <c r="B32" s="33">
        <v>2021</v>
      </c>
      <c r="C32" s="18">
        <v>336</v>
      </c>
      <c r="D32" s="24"/>
      <c r="E32" s="24"/>
    </row>
    <row r="33" ht="20.05" customHeight="1">
      <c r="B33" s="32"/>
      <c r="C33" s="18">
        <v>302</v>
      </c>
      <c r="D33" s="24"/>
      <c r="E33" s="24"/>
    </row>
    <row r="34" ht="20.05" customHeight="1">
      <c r="B34" s="32"/>
      <c r="C34" s="18">
        <v>326</v>
      </c>
      <c r="D34" s="24"/>
      <c r="E34" s="24"/>
    </row>
    <row r="35" ht="20.05" customHeight="1">
      <c r="B35" s="32"/>
      <c r="C35" s="18">
        <v>316</v>
      </c>
      <c r="D35" s="24"/>
      <c r="E35" s="24"/>
    </row>
    <row r="36" ht="20.05" customHeight="1">
      <c r="B36" s="33">
        <v>2022</v>
      </c>
      <c r="C36" s="22">
        <v>292</v>
      </c>
      <c r="D36" s="24"/>
      <c r="E36" s="24"/>
    </row>
    <row r="37" ht="20.05" customHeight="1">
      <c r="B37" s="32"/>
      <c r="C37" s="18">
        <v>296</v>
      </c>
      <c r="D37" s="19">
        <v>1012.3064180372</v>
      </c>
      <c r="E37" s="24"/>
    </row>
    <row r="38" ht="20.05" customHeight="1">
      <c r="B38" s="32"/>
      <c r="C38" s="18"/>
      <c r="D38" s="23">
        <f>'Model'!F44</f>
        <v>776.7380284709089</v>
      </c>
      <c r="E38" s="2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