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<sst xmlns="http://schemas.openxmlformats.org/spreadsheetml/2006/main" uniqueCount="66">
  <si>
    <t>Financial model</t>
  </si>
  <si>
    <t>Rpbn</t>
  </si>
  <si>
    <t>4Q 2021</t>
  </si>
  <si>
    <t>Cashflow</t>
  </si>
  <si>
    <t>Growth</t>
  </si>
  <si>
    <t>Sales</t>
  </si>
  <si>
    <t xml:space="preserve">Cost ratio </t>
  </si>
  <si>
    <t>Cash costs</t>
  </si>
  <si>
    <t xml:space="preserve">Operating </t>
  </si>
  <si>
    <t xml:space="preserve">Investment </t>
  </si>
  <si>
    <t xml:space="preserve">Leases </t>
  </si>
  <si>
    <t xml:space="preserve">Finance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</si>
  <si>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</si>
  <si>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</si>
  <si>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</si>
  <si>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</si>
  <si>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</si>
  <si>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</si>
  <si>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</si>
  <si>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</si>
  <si>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</si>
  <si>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</si>
  <si>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</si>
  <si>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</si>
  <si>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</si>
  <si>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</si>
  <si>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</si>
  <si>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</si>
  <si>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>Net cash</t>
  </si>
  <si>
    <t xml:space="preserve">Valuation </t>
  </si>
  <si>
    <t>Capital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</si>
  <si>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</si>
  <si>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</si>
  <si>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</si>
  <si>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</si>
  <si>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</si>
  <si>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</si>
  <si>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>Value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</si>
  <si>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</si>
  <si>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</si>
  <si>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</si>
  <si>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</si>
  <si>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</si>
  <si>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</si>
  <si>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>Sales growth</t>
  </si>
  <si>
    <t xml:space="preserve">Receipts </t>
  </si>
  <si>
    <t>Equity</t>
  </si>
  <si>
    <t>Finance</t>
  </si>
  <si>
    <t xml:space="preserve">Free cashflow </t>
  </si>
  <si>
    <t>Table 1</t>
  </si>
  <si>
    <t>LINK</t>
  </si>
  <si>
    <t>TOWR</t>
  </si>
  <si>
    <t>CENT</t>
  </si>
  <si>
    <t>ISAT</t>
  </si>
  <si>
    <t>EXCL</t>
  </si>
  <si>
    <t>TLKM</t>
  </si>
  <si>
    <t>Balance sheet</t>
  </si>
  <si>
    <t xml:space="preserve">  Cash</t>
  </si>
  <si>
    <t>Assets</t>
  </si>
  <si>
    <t>Other asset</t>
  </si>
  <si>
    <t xml:space="preserve">Check </t>
  </si>
  <si>
    <t>Share price</t>
  </si>
  <si>
    <t>Date</t>
  </si>
  <si>
    <t>Target</t>
  </si>
  <si>
    <t>Previous Target</t>
  </si>
  <si>
    <t xml:space="preserve">Total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</si>
</sst>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sz val="10"/>
      <color indexed="8"/>
      <name val="Arial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center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horizontal="right" vertical="center"/>
    </xf>
    <xf numFmtId="38" fontId="0" borderId="7" applyNumberFormat="1" applyFont="1" applyFill="0" applyBorder="1" applyAlignment="1" applyProtection="0">
      <alignment horizontal="right" vertical="center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2" borderId="1" applyNumberFormat="1" applyFont="1" applyFill="1" applyBorder="1" applyAlignment="1" applyProtection="0">
      <alignment horizontal="right"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4" borderId="7" applyNumberFormat="0" applyFont="1" applyFill="0" applyBorder="1" applyAlignment="1" applyProtection="0">
      <alignment horizontal="right" vertical="center" wrapText="1" readingOrder="1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228859"/>
          <c:y val="0.113834"/>
          <c:w val="0.759598"/>
          <c:h val="0.819582"/>
        </c:manualLayout>
      </c:layout>
      <c:lineChart>
        <c:grouping val="standard"/>
        <c:varyColors val="0"/>
        <c:ser>
          <c:idx val="0"/>
          <c:order val="0"/>
          <c:tx>
            <c:strRef>
              <c:f>'Cashflow'!$Y$36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'Cashflow'!$P$55:$P$58</c:f>
              <c:strCache>
                <c:ptCount val="4"/>
                <c:pt idx="0">
                  <c:v/>
                </c:pt>
                <c:pt idx="1">
                  <c:v/>
                </c:pt>
                <c:pt idx="2">
                  <c:v>2020</c:v>
                </c:pt>
                <c:pt idx="3">
                  <c:v/>
                </c:pt>
              </c:strCache>
            </c:strRef>
          </c:cat>
          <c:val>
            <c:numRef>
              <c:f>'Cashflow'!$Y$55:$Y$58</c:f>
              <c:numCache>
                <c:ptCount val="4"/>
                <c:pt idx="0">
                  <c:v>-33021.000000</c:v>
                </c:pt>
                <c:pt idx="1">
                  <c:v>-35791.000000</c:v>
                </c:pt>
                <c:pt idx="2">
                  <c:v>-34672.000000</c:v>
                </c:pt>
                <c:pt idx="3">
                  <c:v>-35388.000000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'Cashflow'!$Z$36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'Cashflow'!$P$55:$P$58</c:f>
              <c:strCache>
                <c:ptCount val="4"/>
                <c:pt idx="0">
                  <c:v/>
                </c:pt>
                <c:pt idx="1">
                  <c:v/>
                </c:pt>
                <c:pt idx="2">
                  <c:v>2020</c:v>
                </c:pt>
                <c:pt idx="3">
                  <c:v/>
                </c:pt>
              </c:strCache>
            </c:strRef>
          </c:cat>
          <c:val>
            <c:numRef>
              <c:f>'Cashflow'!$Z$55:$Z$58</c:f>
              <c:numCache>
                <c:ptCount val="4"/>
                <c:pt idx="0">
                  <c:v>-5638.350000</c:v>
                </c:pt>
                <c:pt idx="1">
                  <c:v>-7938.540000</c:v>
                </c:pt>
                <c:pt idx="2">
                  <c:v>-9626.390000</c:v>
                </c:pt>
                <c:pt idx="3">
                  <c:v>-11563.740000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'Cashflow'!$AA$36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'Cashflow'!$P$55:$P$58</c:f>
              <c:strCache>
                <c:ptCount val="4"/>
                <c:pt idx="0">
                  <c:v/>
                </c:pt>
                <c:pt idx="1">
                  <c:v/>
                </c:pt>
                <c:pt idx="2">
                  <c:v>2020</c:v>
                </c:pt>
                <c:pt idx="3">
                  <c:v/>
                </c:pt>
              </c:strCache>
            </c:strRef>
          </c:cat>
          <c:val>
            <c:numRef>
              <c:f>'Cashflow'!$AA$55:$AA$58</c:f>
              <c:numCache>
                <c:ptCount val="4"/>
                <c:pt idx="0">
                  <c:v>-17336.000000</c:v>
                </c:pt>
                <c:pt idx="1">
                  <c:v>-17575.000000</c:v>
                </c:pt>
                <c:pt idx="2">
                  <c:v>-15354.000000</c:v>
                </c:pt>
                <c:pt idx="3">
                  <c:v>-13615.000000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0000"/>
        <c:minorUnit val="500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48436"/>
          <c:y val="0"/>
          <c:w val="0.850302"/>
          <c:h val="0.064505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73733"/>
          <c:y val="0.0446026"/>
          <c:w val="0.787336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'!$A$3:$A$19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'!$E$3:$E$19</c:f>
              <c:numCache>
                <c:ptCount val="17"/>
                <c:pt idx="0">
                  <c:v>1008.100000</c:v>
                </c:pt>
                <c:pt idx="1">
                  <c:v>1016.000000</c:v>
                </c:pt>
                <c:pt idx="2">
                  <c:v>3283.400000</c:v>
                </c:pt>
                <c:pt idx="3">
                  <c:v>5730.400000</c:v>
                </c:pt>
                <c:pt idx="4">
                  <c:v>4952.800000</c:v>
                </c:pt>
                <c:pt idx="5">
                  <c:v>-1484.200000</c:v>
                </c:pt>
                <c:pt idx="6">
                  <c:v>-4064.200000</c:v>
                </c:pt>
                <c:pt idx="7">
                  <c:v>-6715.200000</c:v>
                </c:pt>
                <c:pt idx="8">
                  <c:v>-3911.200000</c:v>
                </c:pt>
                <c:pt idx="9">
                  <c:v>-1608.200000</c:v>
                </c:pt>
                <c:pt idx="10">
                  <c:v>-11559.200000</c:v>
                </c:pt>
                <c:pt idx="11">
                  <c:v>-8628.200000</c:v>
                </c:pt>
                <c:pt idx="12">
                  <c:v>-343.200000</c:v>
                </c:pt>
                <c:pt idx="13">
                  <c:v>7326.800000</c:v>
                </c:pt>
                <c:pt idx="14">
                  <c:v>7415.800000</c:v>
                </c:pt>
                <c:pt idx="15">
                  <c:v>10287.800000</c:v>
                </c:pt>
                <c:pt idx="16">
                  <c:v>6059.800000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'!$A$3:$A$19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'!$F$3:$F$19</c:f>
              <c:numCache>
                <c:ptCount val="17"/>
                <c:pt idx="0">
                  <c:v>-8390.900000</c:v>
                </c:pt>
                <c:pt idx="1">
                  <c:v>-19355.800000</c:v>
                </c:pt>
                <c:pt idx="2">
                  <c:v>-33209.200000</c:v>
                </c:pt>
                <c:pt idx="3">
                  <c:v>-42405.100000</c:v>
                </c:pt>
                <c:pt idx="4">
                  <c:v>-51447.100000</c:v>
                </c:pt>
                <c:pt idx="5">
                  <c:v>-60549.100000</c:v>
                </c:pt>
                <c:pt idx="6">
                  <c:v>-71283.100000</c:v>
                </c:pt>
                <c:pt idx="7">
                  <c:v>-81959.100000</c:v>
                </c:pt>
                <c:pt idx="8">
                  <c:v>-94846.100000</c:v>
                </c:pt>
                <c:pt idx="9">
                  <c:v>-103556.100000</c:v>
                </c:pt>
                <c:pt idx="10">
                  <c:v>-111510.100000</c:v>
                </c:pt>
                <c:pt idx="11">
                  <c:v>-135493.100000</c:v>
                </c:pt>
                <c:pt idx="12">
                  <c:v>-162236.100000</c:v>
                </c:pt>
                <c:pt idx="13">
                  <c:v>-188153.100000</c:v>
                </c:pt>
                <c:pt idx="14">
                  <c:v>-211193.100000</c:v>
                </c:pt>
                <c:pt idx="15">
                  <c:v>-222615.100000</c:v>
                </c:pt>
                <c:pt idx="16">
                  <c:v>-222570.100000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'!$A$3:$A$19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'Capital '!$G$3:$G$19</c:f>
              <c:numCache>
                <c:ptCount val="17"/>
                <c:pt idx="0">
                  <c:v>-7382.800000</c:v>
                </c:pt>
                <c:pt idx="1">
                  <c:v>-18339.800000</c:v>
                </c:pt>
                <c:pt idx="2">
                  <c:v>-29925.800000</c:v>
                </c:pt>
                <c:pt idx="3">
                  <c:v>-36674.700000</c:v>
                </c:pt>
                <c:pt idx="4">
                  <c:v>-46494.300000</c:v>
                </c:pt>
                <c:pt idx="5">
                  <c:v>-62033.300000</c:v>
                </c:pt>
                <c:pt idx="6">
                  <c:v>-75347.300000</c:v>
                </c:pt>
                <c:pt idx="7">
                  <c:v>-88674.300000</c:v>
                </c:pt>
                <c:pt idx="8">
                  <c:v>-98757.300000</c:v>
                </c:pt>
                <c:pt idx="9">
                  <c:v>-105164.300000</c:v>
                </c:pt>
                <c:pt idx="10">
                  <c:v>-123069.300000</c:v>
                </c:pt>
                <c:pt idx="11">
                  <c:v>-144121.300000</c:v>
                </c:pt>
                <c:pt idx="12">
                  <c:v>-162579.300000</c:v>
                </c:pt>
                <c:pt idx="13">
                  <c:v>-180826.300000</c:v>
                </c:pt>
                <c:pt idx="14">
                  <c:v>-203777.300000</c:v>
                </c:pt>
                <c:pt idx="15">
                  <c:v>-212327.300000</c:v>
                </c:pt>
                <c:pt idx="16">
                  <c:v>-216510.300000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93750"/>
        <c:minorUnit val="46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7018"/>
          <c:y val="0.0411925"/>
          <c:w val="0.38524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424513</xdr:colOff>
      <xdr:row>1</xdr:row>
      <xdr:rowOff>271485</xdr:rowOff>
    </xdr:from>
    <xdr:to>
      <xdr:col>13</xdr:col>
      <xdr:colOff>1212641</xdr:colOff>
      <xdr:row>50</xdr:row>
      <xdr:rowOff>138038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06013" y="731225"/>
          <a:ext cx="9500329" cy="124433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30</xdr:col>
      <xdr:colOff>635557</xdr:colOff>
      <xdr:row>48</xdr:row>
      <xdr:rowOff>96237</xdr:rowOff>
    </xdr:from>
    <xdr:to>
      <xdr:col>32</xdr:col>
      <xdr:colOff>786977</xdr:colOff>
      <xdr:row>63</xdr:row>
      <xdr:rowOff>51999</xdr:rowOff>
    </xdr:to>
    <xdr:graphicFrame>
      <xdr:nvGraphicFramePr>
        <xdr:cNvPr id="4" name="2D Line Chart"/>
        <xdr:cNvGraphicFramePr/>
      </xdr:nvGraphicFramePr>
      <xdr:xfrm>
        <a:off x="25641857" y="13001977"/>
        <a:ext cx="2640621" cy="376766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455889</xdr:colOff>
      <xdr:row>29</xdr:row>
      <xdr:rowOff>193753</xdr:rowOff>
    </xdr:from>
    <xdr:to>
      <xdr:col>5</xdr:col>
      <xdr:colOff>373021</xdr:colOff>
      <xdr:row>42</xdr:row>
      <xdr:rowOff>245379</xdr:rowOff>
    </xdr:to>
    <xdr:graphicFrame>
      <xdr:nvGraphicFramePr>
        <xdr:cNvPr id="6" name="2D Line Chart"/>
        <xdr:cNvGraphicFramePr/>
      </xdr:nvGraphicFramePr>
      <xdr:xfrm>
        <a:off x="455889" y="7660718"/>
        <a:ext cx="3790633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11125</xdr:colOff>
      <xdr:row>26</xdr:row>
      <xdr:rowOff>48799</xdr:rowOff>
    </xdr:from>
    <xdr:to>
      <xdr:col>6</xdr:col>
      <xdr:colOff>186618</xdr:colOff>
      <xdr:row>30</xdr:row>
      <xdr:rowOff>20431</xdr:rowOff>
    </xdr:to>
    <xdr:sp>
      <xdr:nvSpPr>
        <xdr:cNvPr id="7" name="TLKM IS THE LARGEST CAPITAL PAYER BY FAR"/>
        <xdr:cNvSpPr txBox="1"/>
      </xdr:nvSpPr>
      <xdr:spPr>
        <a:xfrm>
          <a:off x="11125" y="6757574"/>
          <a:ext cx="4823694" cy="9825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TLKM IS THE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LARGEST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CAPITAL PAYER BY FAR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4375" style="1" customWidth="1"/>
    <col min="2" max="2" width="16.4375" style="1" customWidth="1"/>
    <col min="3" max="6" width="9.22656" style="1" customWidth="1"/>
    <col min="7" max="16384" width="16.3516" style="1" customWidth="1"/>
  </cols>
  <sheetData>
    <row r="1" ht="36.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0.009895271675516929</v>
      </c>
      <c r="D4" s="8"/>
      <c r="E4" s="8"/>
      <c r="F4" s="9">
        <f>AVERAGE(C5:F5)</f>
        <v>0.015</v>
      </c>
    </row>
    <row r="5" ht="20.05" customHeight="1">
      <c r="B5" t="s" s="10">
        <v>4</v>
      </c>
      <c r="C5" s="11">
        <v>0.02</v>
      </c>
      <c r="D5" s="12">
        <v>0.03</v>
      </c>
      <c r="E5" s="12">
        <v>0.02</v>
      </c>
      <c r="F5" s="12">
        <v>-0.01</v>
      </c>
    </row>
    <row r="6" ht="20.05" customHeight="1">
      <c r="B6" t="s" s="10">
        <v>5</v>
      </c>
      <c r="C6" s="13">
        <f>'Sales'!C32*(1+C5)</f>
        <v>35912.16</v>
      </c>
      <c r="D6" s="14">
        <f>C6*(1+D5)</f>
        <v>36989.5248</v>
      </c>
      <c r="E6" s="14">
        <f>D6*(1+E5)</f>
        <v>37729.315296</v>
      </c>
      <c r="F6" s="14">
        <f>E6*(1+F5)</f>
        <v>37352.02214304</v>
      </c>
    </row>
    <row r="7" ht="20.05" customHeight="1">
      <c r="B7" t="s" s="10">
        <v>6</v>
      </c>
      <c r="C7" s="15">
        <f>AVERAGE('Sales'!I32)</f>
        <v>-0.543921484291352</v>
      </c>
      <c r="D7" s="16">
        <f>C7</f>
        <v>-0.543921484291352</v>
      </c>
      <c r="E7" s="16">
        <f>D7</f>
        <v>-0.543921484291352</v>
      </c>
      <c r="F7" s="16">
        <f>E7</f>
        <v>-0.543921484291352</v>
      </c>
    </row>
    <row r="8" ht="20.05" customHeight="1">
      <c r="B8" t="s" s="10">
        <v>7</v>
      </c>
      <c r="C8" s="17">
        <f>C6*C7</f>
        <v>-19533.3953713085</v>
      </c>
      <c r="D8" s="18">
        <f>D6*D7</f>
        <v>-20119.3972324478</v>
      </c>
      <c r="E8" s="18">
        <f>E6*E7</f>
        <v>-20521.7851770967</v>
      </c>
      <c r="F8" s="18">
        <f>F6*F7</f>
        <v>-20316.5673253258</v>
      </c>
    </row>
    <row r="9" ht="20.05" customHeight="1">
      <c r="B9" t="s" s="10">
        <v>8</v>
      </c>
      <c r="C9" s="17">
        <f>C6+C8</f>
        <v>16378.7646286915</v>
      </c>
      <c r="D9" s="18">
        <f>D6+D8</f>
        <v>16870.1275675522</v>
      </c>
      <c r="E9" s="18">
        <f>E6+E8</f>
        <v>17207.5301189033</v>
      </c>
      <c r="F9" s="18">
        <f>F6+F8</f>
        <v>17035.4548177142</v>
      </c>
    </row>
    <row r="10" ht="20.05" customHeight="1">
      <c r="B10" t="s" s="10">
        <v>9</v>
      </c>
      <c r="C10" s="19">
        <f>AVERAGE('Cashflow'!E32)</f>
        <v>-8959</v>
      </c>
      <c r="D10" s="20">
        <f>C10</f>
        <v>-8959</v>
      </c>
      <c r="E10" s="20">
        <f>D10</f>
        <v>-8959</v>
      </c>
      <c r="F10" s="20">
        <f>E10</f>
        <v>-8959</v>
      </c>
    </row>
    <row r="11" ht="20.05" customHeight="1">
      <c r="B11" t="s" s="10">
        <v>10</v>
      </c>
      <c r="C11" s="17">
        <f>AVERAGE('Cashflow'!F29:F32)</f>
        <v>-1063.25</v>
      </c>
      <c r="D11" s="18">
        <f>C11</f>
        <v>-1063.25</v>
      </c>
      <c r="E11" s="18">
        <f>D11</f>
        <v>-1063.25</v>
      </c>
      <c r="F11" s="18">
        <f>E11</f>
        <v>-1063.25</v>
      </c>
    </row>
    <row r="12" ht="20.05" customHeight="1">
      <c r="B12" t="s" s="10">
        <v>11</v>
      </c>
      <c r="C12" s="17">
        <f>C13+C16+C14</f>
        <v>-7419.7646286915</v>
      </c>
      <c r="D12" s="18">
        <f>D13+D16+D14</f>
        <v>-7911.1275675522</v>
      </c>
      <c r="E12" s="18">
        <f>E13+E16+E14</f>
        <v>-8248.5301189033</v>
      </c>
      <c r="F12" s="18">
        <f>F13+F16+F14</f>
        <v>-8076.4548177142</v>
      </c>
    </row>
    <row r="13" ht="20.05" customHeight="1">
      <c r="B13" t="s" s="10">
        <v>12</v>
      </c>
      <c r="C13" s="17">
        <f>-('Balance Sheet '!G32)/20</f>
        <v>-6306</v>
      </c>
      <c r="D13" s="18">
        <f>-C28/20</f>
        <v>-5990.7</v>
      </c>
      <c r="E13" s="18">
        <f>-D28/20</f>
        <v>-5691.165</v>
      </c>
      <c r="F13" s="18">
        <f>-E28/20</f>
        <v>-5406.60675</v>
      </c>
    </row>
    <row r="14" ht="20.05" customHeight="1">
      <c r="B14" t="s" s="10">
        <v>13</v>
      </c>
      <c r="C14" s="17">
        <f>-MIN(0,C17)</f>
        <v>1407.064759915950</v>
      </c>
      <c r="D14" s="18">
        <f>-MIN(C29,D17)</f>
        <v>747.810702713460</v>
      </c>
      <c r="E14" s="18">
        <f>-MIN(D29,E17)</f>
        <v>212.093916767690</v>
      </c>
      <c r="F14" s="18">
        <f>-MIN(E29,F17)</f>
        <v>47.988377600060</v>
      </c>
    </row>
    <row r="15" ht="20.05" customHeight="1">
      <c r="B15" t="s" s="10">
        <v>14</v>
      </c>
      <c r="C15" s="21">
        <v>0.3</v>
      </c>
      <c r="D15" s="20"/>
      <c r="E15" s="20"/>
      <c r="F15" s="20"/>
    </row>
    <row r="16" ht="20.05" customHeight="1">
      <c r="B16" t="s" s="10">
        <v>15</v>
      </c>
      <c r="C16" s="19">
        <f>IF(C23&gt;0,-C23*$C$15,0)</f>
        <v>-2520.829388607450</v>
      </c>
      <c r="D16" s="20">
        <f>IF(D23&gt;0,-D23*$C$15,0)</f>
        <v>-2668.238270265660</v>
      </c>
      <c r="E16" s="20">
        <f>IF(E23&gt;0,-E23*$C$15,0)</f>
        <v>-2769.459035670990</v>
      </c>
      <c r="F16" s="20">
        <f>IF(F23&gt;0,-F23*$C$15,0)</f>
        <v>-2717.836445314260</v>
      </c>
    </row>
    <row r="17" ht="20.05" customHeight="1">
      <c r="B17" t="s" s="10">
        <v>16</v>
      </c>
      <c r="C17" s="17">
        <f>C9+C10+C13+C16</f>
        <v>-1407.064759915950</v>
      </c>
      <c r="D17" s="18">
        <f>D9+D10+D13+D16</f>
        <v>-747.810702713460</v>
      </c>
      <c r="E17" s="18">
        <f>E9+E10+E13+E16</f>
        <v>-212.093916767690</v>
      </c>
      <c r="F17" s="18">
        <f>F9+F10+F13+F16</f>
        <v>-47.988377600060</v>
      </c>
    </row>
    <row r="18" ht="20.05" customHeight="1">
      <c r="B18" t="s" s="10">
        <v>17</v>
      </c>
      <c r="C18" s="17">
        <f>'Balance Sheet '!C32</f>
        <v>41629</v>
      </c>
      <c r="D18" s="18">
        <f>C20</f>
        <v>41629</v>
      </c>
      <c r="E18" s="18">
        <f>D20</f>
        <v>41629</v>
      </c>
      <c r="F18" s="18">
        <f>E20</f>
        <v>41629</v>
      </c>
    </row>
    <row r="19" ht="20.05" customHeight="1">
      <c r="B19" t="s" s="10">
        <v>18</v>
      </c>
      <c r="C19" s="17">
        <f>C9+C10+C12</f>
        <v>0</v>
      </c>
      <c r="D19" s="18">
        <f>D9+D10+D12</f>
        <v>0</v>
      </c>
      <c r="E19" s="18">
        <f>E9+E10+E12</f>
        <v>0</v>
      </c>
      <c r="F19" s="18">
        <f>F9+F10+F12</f>
        <v>0</v>
      </c>
    </row>
    <row r="20" ht="20.05" customHeight="1">
      <c r="B20" t="s" s="10">
        <v>19</v>
      </c>
      <c r="C20" s="17">
        <f>C18+C19</f>
        <v>41629</v>
      </c>
      <c r="D20" s="18">
        <f>D18+D19</f>
        <v>41629</v>
      </c>
      <c r="E20" s="18">
        <f>E18+E19</f>
        <v>41629</v>
      </c>
      <c r="F20" s="18">
        <f>F18+F19</f>
        <v>41629</v>
      </c>
    </row>
    <row r="21" ht="20.05" customHeight="1">
      <c r="B21" t="s" s="22">
        <v>20</v>
      </c>
      <c r="C21" s="19"/>
      <c r="D21" s="20"/>
      <c r="E21" s="20"/>
      <c r="F21" s="23"/>
    </row>
    <row r="22" ht="20.05" customHeight="1">
      <c r="B22" t="s" s="10">
        <v>21</v>
      </c>
      <c r="C22" s="17">
        <f>-AVERAGE('Sales'!E32)</f>
        <v>-7976</v>
      </c>
      <c r="D22" s="18">
        <f>C22</f>
        <v>-7976</v>
      </c>
      <c r="E22" s="18">
        <f>D22</f>
        <v>-7976</v>
      </c>
      <c r="F22" s="18">
        <f>E22</f>
        <v>-7976</v>
      </c>
    </row>
    <row r="23" ht="20.05" customHeight="1">
      <c r="B23" t="s" s="10">
        <v>22</v>
      </c>
      <c r="C23" s="19">
        <f>C6+C8+C22</f>
        <v>8402.764628691501</v>
      </c>
      <c r="D23" s="20">
        <f>D6+D8+D22</f>
        <v>8894.127567552199</v>
      </c>
      <c r="E23" s="20">
        <f>E6+E8+E22</f>
        <v>9231.5301189033</v>
      </c>
      <c r="F23" s="20">
        <f>F6+F8+F22</f>
        <v>9059.454817714201</v>
      </c>
    </row>
    <row r="24" ht="20.05" customHeight="1">
      <c r="B24" t="s" s="22">
        <v>23</v>
      </c>
      <c r="C24" s="19"/>
      <c r="D24" s="20"/>
      <c r="E24" s="20"/>
      <c r="F24" s="20"/>
    </row>
    <row r="25" ht="20.05" customHeight="1">
      <c r="B25" t="s" s="10">
        <v>24</v>
      </c>
      <c r="C25" s="17">
        <f>'Balance Sheet '!E32+'Balance Sheet '!F32-C10</f>
        <v>450709</v>
      </c>
      <c r="D25" s="18">
        <f>C25-D10</f>
        <v>459668</v>
      </c>
      <c r="E25" s="18">
        <f>D25-E10</f>
        <v>468627</v>
      </c>
      <c r="F25" s="18">
        <f>E25-F10</f>
        <v>477586</v>
      </c>
    </row>
    <row r="26" ht="20.05" customHeight="1">
      <c r="B26" t="s" s="10">
        <v>25</v>
      </c>
      <c r="C26" s="17">
        <f>'Balance Sheet '!F32-C22</f>
        <v>211905</v>
      </c>
      <c r="D26" s="18">
        <f>C26-D22</f>
        <v>219881</v>
      </c>
      <c r="E26" s="18">
        <f>D26-E22</f>
        <v>227857</v>
      </c>
      <c r="F26" s="18">
        <f>E26-F22</f>
        <v>235833</v>
      </c>
    </row>
    <row r="27" ht="20.05" customHeight="1">
      <c r="B27" t="s" s="10">
        <v>26</v>
      </c>
      <c r="C27" s="17">
        <f>C25-C26</f>
        <v>238804</v>
      </c>
      <c r="D27" s="18">
        <f>D25-D26</f>
        <v>239787</v>
      </c>
      <c r="E27" s="18">
        <f>E25-E26</f>
        <v>240770</v>
      </c>
      <c r="F27" s="18">
        <f>F25-F26</f>
        <v>241753</v>
      </c>
    </row>
    <row r="28" ht="20.05" customHeight="1">
      <c r="B28" t="s" s="10">
        <v>12</v>
      </c>
      <c r="C28" s="17">
        <f>'Balance Sheet '!G32+C13</f>
        <v>119814</v>
      </c>
      <c r="D28" s="18">
        <f>C28+D13</f>
        <v>113823.3</v>
      </c>
      <c r="E28" s="18">
        <f>D28+E13</f>
        <v>108132.135</v>
      </c>
      <c r="F28" s="18">
        <f>E28+F13</f>
        <v>102725.52825</v>
      </c>
    </row>
    <row r="29" ht="20.05" customHeight="1">
      <c r="B29" t="s" s="10">
        <v>13</v>
      </c>
      <c r="C29" s="17">
        <f>C14</f>
        <v>1407.064759915950</v>
      </c>
      <c r="D29" s="18">
        <f>C29+D14</f>
        <v>2154.875462629410</v>
      </c>
      <c r="E29" s="18">
        <f>D29+E14</f>
        <v>2366.9693793971</v>
      </c>
      <c r="F29" s="18">
        <f>E29+F14</f>
        <v>2414.957756997160</v>
      </c>
    </row>
    <row r="30" ht="20.05" customHeight="1">
      <c r="B30" t="s" s="10">
        <v>15</v>
      </c>
      <c r="C30" s="17">
        <f>'Balance Sheet '!H32+C23+C16</f>
        <v>159211.935240084</v>
      </c>
      <c r="D30" s="18">
        <f>C30+D23+D16</f>
        <v>165437.824537371</v>
      </c>
      <c r="E30" s="18">
        <f>D30+E23+E16</f>
        <v>171899.895620603</v>
      </c>
      <c r="F30" s="18">
        <f>E30+F23+F16</f>
        <v>178241.513993003</v>
      </c>
    </row>
    <row r="31" ht="20.05" customHeight="1">
      <c r="B31" t="s" s="10">
        <v>27</v>
      </c>
      <c r="C31" s="19">
        <f>C28+C29+C30-C20-C27</f>
        <v>-5e-11</v>
      </c>
      <c r="D31" s="20">
        <f>D28+D29+D30-D20-D27</f>
        <v>4.1e-10</v>
      </c>
      <c r="E31" s="20">
        <f>E28+E29+E30-E20-E27</f>
        <v>1e-10</v>
      </c>
      <c r="F31" s="20">
        <f>F28+F29+F30-F20-F27</f>
        <v>1.6e-10</v>
      </c>
    </row>
    <row r="32" ht="20.05" customHeight="1">
      <c r="B32" t="s" s="10">
        <v>28</v>
      </c>
      <c r="C32" s="19">
        <f>C20-C28-C29</f>
        <v>-79592.064759916</v>
      </c>
      <c r="D32" s="20">
        <f>D20-D28-D29</f>
        <v>-74349.1754626294</v>
      </c>
      <c r="E32" s="20">
        <f>E20-E28-E29</f>
        <v>-68870.1043793971</v>
      </c>
      <c r="F32" s="20">
        <f>F20-F28-F29</f>
        <v>-63511.4860069972</v>
      </c>
    </row>
    <row r="33" ht="20.05" customHeight="1">
      <c r="B33" t="s" s="22">
        <v>29</v>
      </c>
      <c r="C33" s="19"/>
      <c r="D33" s="20"/>
      <c r="E33" s="20"/>
      <c r="F33" s="20"/>
    </row>
    <row r="34" ht="20.05" customHeight="1">
      <c r="B34" t="s" s="10">
        <v>30</v>
      </c>
      <c r="C34" s="19">
        <f>'Cashflow'!M32-(C12-C11)</f>
        <v>123911.514628692</v>
      </c>
      <c r="D34" s="20">
        <f>C34-(D12-D11)</f>
        <v>130759.392196244</v>
      </c>
      <c r="E34" s="20">
        <f>D34-(E12-E11)</f>
        <v>137944.672315147</v>
      </c>
      <c r="F34" s="20">
        <f>E34-(F12-F11)</f>
        <v>144957.877132861</v>
      </c>
    </row>
    <row r="35" ht="20.05" customHeight="1">
      <c r="B35" t="s" s="10">
        <v>31</v>
      </c>
      <c r="C35" s="19"/>
      <c r="D35" s="20"/>
      <c r="E35" s="20"/>
      <c r="F35" s="20">
        <v>429929958277120</v>
      </c>
    </row>
    <row r="36" ht="20.05" customHeight="1">
      <c r="B36" t="s" s="10">
        <v>31</v>
      </c>
      <c r="C36" s="19"/>
      <c r="D36" s="20"/>
      <c r="E36" s="20"/>
      <c r="F36" s="20">
        <f>F35/1000000000</f>
        <v>429929.95827712</v>
      </c>
    </row>
    <row r="37" ht="20.05" customHeight="1">
      <c r="B37" t="s" s="10">
        <v>32</v>
      </c>
      <c r="C37" s="19"/>
      <c r="D37" s="20"/>
      <c r="E37" s="20"/>
      <c r="F37" s="24">
        <f>F36/(F20+F27)</f>
        <v>1.5171392617637</v>
      </c>
    </row>
    <row r="38" ht="20.05" customHeight="1">
      <c r="B38" t="s" s="10">
        <v>33</v>
      </c>
      <c r="C38" s="25"/>
      <c r="D38" s="23"/>
      <c r="E38" s="23"/>
      <c r="F38" s="16">
        <f>-(C16+D16+E16+F16)/F36</f>
        <v>0.0248327964458264</v>
      </c>
    </row>
    <row r="39" ht="20.05" customHeight="1">
      <c r="B39" t="s" s="10">
        <v>34</v>
      </c>
      <c r="C39" s="25"/>
      <c r="D39" s="23"/>
      <c r="E39" s="23"/>
      <c r="F39" s="20">
        <f>SUM(C9:F11)</f>
        <v>27402.8771328612</v>
      </c>
    </row>
    <row r="40" ht="20.05" customHeight="1">
      <c r="B40" t="s" s="10">
        <v>35</v>
      </c>
      <c r="C40" s="25"/>
      <c r="D40" s="23"/>
      <c r="E40" s="23"/>
      <c r="F40" s="20">
        <f>'Balance Sheet '!E32/F39</f>
        <v>8.6786872359037</v>
      </c>
    </row>
    <row r="41" ht="20.05" customHeight="1">
      <c r="B41" t="s" s="10">
        <v>29</v>
      </c>
      <c r="C41" s="25"/>
      <c r="D41" s="23"/>
      <c r="E41" s="23"/>
      <c r="F41" s="20">
        <f>F36/F39</f>
        <v>15.6892269447705</v>
      </c>
    </row>
    <row r="42" ht="20.05" customHeight="1">
      <c r="B42" t="s" s="10">
        <v>36</v>
      </c>
      <c r="C42" s="25"/>
      <c r="D42" s="23"/>
      <c r="E42" s="23"/>
      <c r="F42" s="26">
        <v>22</v>
      </c>
    </row>
    <row r="43" ht="20.05" customHeight="1">
      <c r="B43" t="s" s="10">
        <v>37</v>
      </c>
      <c r="C43" s="25"/>
      <c r="D43" s="23"/>
      <c r="E43" s="23"/>
      <c r="F43" s="20">
        <f>F39*F42</f>
        <v>602863.296922946</v>
      </c>
    </row>
    <row r="44" ht="20.05" customHeight="1">
      <c r="B44" t="s" s="10">
        <v>38</v>
      </c>
      <c r="C44" s="25"/>
      <c r="D44" s="23"/>
      <c r="E44" s="23"/>
      <c r="F44" s="20">
        <f>F36/F46</f>
        <v>99.062202368</v>
      </c>
    </row>
    <row r="45" ht="20.05" customHeight="1">
      <c r="B45" t="s" s="10">
        <v>39</v>
      </c>
      <c r="C45" s="25"/>
      <c r="D45" s="23"/>
      <c r="E45" s="23"/>
      <c r="F45" s="20">
        <f>F43/F44</f>
        <v>6085.704562507170</v>
      </c>
    </row>
    <row r="46" ht="20.05" customHeight="1">
      <c r="B46" t="s" s="10">
        <v>40</v>
      </c>
      <c r="C46" s="25"/>
      <c r="D46" s="23"/>
      <c r="E46" s="23"/>
      <c r="F46" s="20">
        <v>4340</v>
      </c>
    </row>
    <row r="47" ht="20.05" customHeight="1">
      <c r="B47" t="s" s="10">
        <v>41</v>
      </c>
      <c r="C47" s="25"/>
      <c r="D47" s="23"/>
      <c r="E47" s="23"/>
      <c r="F47" s="16">
        <f>F45/F46-1</f>
        <v>0.402236074310408</v>
      </c>
    </row>
    <row r="48" ht="20.05" customHeight="1">
      <c r="B48" t="s" s="10">
        <v>42</v>
      </c>
      <c r="C48" s="25"/>
      <c r="D48" s="23"/>
      <c r="E48" s="23"/>
      <c r="F48" s="16">
        <f>'Sales'!C32/'Sales'!C28-1</f>
        <v>0.0372072470172338</v>
      </c>
    </row>
    <row r="49" ht="20.05" customHeight="1">
      <c r="B49" t="s" s="10">
        <v>43</v>
      </c>
      <c r="C49" s="25"/>
      <c r="D49" s="23"/>
      <c r="E49" s="23"/>
      <c r="F49" s="16">
        <f>'Sales'!F35/'Sales'!E35-1</f>
        <v>0.008929083481815829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7344" style="27" customWidth="1"/>
    <col min="2" max="2" width="10.7578" style="27" customWidth="1"/>
    <col min="3" max="10" width="12.0625" style="27" customWidth="1"/>
    <col min="11" max="16384" width="16.3516" style="27" customWidth="1"/>
  </cols>
  <sheetData>
    <row r="1" ht="29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20.25" customHeight="1">
      <c r="B3" t="s" s="28">
        <v>1</v>
      </c>
      <c r="C3" t="s" s="28">
        <v>5</v>
      </c>
      <c r="D3" t="s" s="28">
        <v>36</v>
      </c>
      <c r="E3" t="s" s="28">
        <v>25</v>
      </c>
      <c r="F3" t="s" s="28">
        <v>20</v>
      </c>
      <c r="G3" t="s" s="28">
        <v>44</v>
      </c>
      <c r="H3" t="s" s="28">
        <v>6</v>
      </c>
      <c r="I3" t="s" s="28">
        <v>6</v>
      </c>
      <c r="J3" t="s" s="28">
        <v>36</v>
      </c>
    </row>
    <row r="4" ht="20.25" customHeight="1">
      <c r="B4" s="29">
        <v>2015</v>
      </c>
      <c r="C4" s="30">
        <v>23616</v>
      </c>
      <c r="D4" s="8"/>
      <c r="E4" s="31">
        <v>5098</v>
      </c>
      <c r="F4" s="31">
        <v>5508</v>
      </c>
      <c r="G4" s="9"/>
      <c r="H4" s="32">
        <f>(E4+F4-C4)/C4</f>
        <v>-0.550897696476965</v>
      </c>
      <c r="I4" s="8"/>
      <c r="J4" s="8"/>
    </row>
    <row r="5" ht="20.05" customHeight="1">
      <c r="B5" s="33"/>
      <c r="C5" s="34">
        <v>25224</v>
      </c>
      <c r="D5" s="23"/>
      <c r="E5" s="35">
        <v>3695</v>
      </c>
      <c r="F5" s="35">
        <v>5471</v>
      </c>
      <c r="G5" s="16">
        <f>C5/C4-1</f>
        <v>0.0680894308943089</v>
      </c>
      <c r="H5" s="16">
        <f>(E5+F5-C5)/C5</f>
        <v>-0.636615921344751</v>
      </c>
      <c r="I5" s="23"/>
      <c r="J5" s="23"/>
    </row>
    <row r="6" ht="20.05" customHeight="1">
      <c r="B6" s="33"/>
      <c r="C6" s="34">
        <v>26919</v>
      </c>
      <c r="D6" s="23"/>
      <c r="E6" s="35">
        <v>4711</v>
      </c>
      <c r="F6" s="35">
        <v>6358</v>
      </c>
      <c r="G6" s="16">
        <f>C6/C5-1</f>
        <v>0.06719790675547101</v>
      </c>
      <c r="H6" s="16">
        <f>(E6+F6-C6)/C6</f>
        <v>-0.588803447379175</v>
      </c>
      <c r="I6" s="23"/>
      <c r="J6" s="23"/>
    </row>
    <row r="7" ht="20.05" customHeight="1">
      <c r="B7" s="33"/>
      <c r="C7" s="34">
        <v>26711</v>
      </c>
      <c r="D7" s="23"/>
      <c r="E7" s="35">
        <v>5030</v>
      </c>
      <c r="F7" s="35">
        <v>5980</v>
      </c>
      <c r="G7" s="16">
        <f>C7/C6-1</f>
        <v>-0.00772688435677403</v>
      </c>
      <c r="H7" s="16">
        <f>(E7+F7-C7)/C7</f>
        <v>-0.587810265433716</v>
      </c>
      <c r="I7" s="23"/>
      <c r="J7" s="23"/>
    </row>
    <row r="8" ht="20.05" customHeight="1">
      <c r="B8" s="36">
        <v>2016</v>
      </c>
      <c r="C8" s="34">
        <v>27542</v>
      </c>
      <c r="D8" s="23"/>
      <c r="E8" s="35">
        <v>4405</v>
      </c>
      <c r="F8" s="35">
        <v>6893</v>
      </c>
      <c r="G8" s="16">
        <f>C8/C7-1</f>
        <v>0.0311107783310247</v>
      </c>
      <c r="H8" s="16">
        <f>(E8+F8-C8)/C8</f>
        <v>-0.589790138697262</v>
      </c>
      <c r="I8" s="16">
        <f>AVERAGE(H5:H8)</f>
        <v>-0.600754943213726</v>
      </c>
      <c r="J8" s="16"/>
    </row>
    <row r="9" ht="20.05" customHeight="1">
      <c r="B9" s="33"/>
      <c r="C9" s="34">
        <v>28912</v>
      </c>
      <c r="D9" s="23"/>
      <c r="E9" s="35">
        <v>4334</v>
      </c>
      <c r="F9" s="35">
        <v>7770</v>
      </c>
      <c r="G9" s="16">
        <f>C9/C8-1</f>
        <v>0.049742211894561</v>
      </c>
      <c r="H9" s="16">
        <f>(E9+F9-C9)/C9</f>
        <v>-0.581350304371887</v>
      </c>
      <c r="I9" s="16">
        <f>AVERAGE(H6:H9)</f>
        <v>-0.58693853897051</v>
      </c>
      <c r="J9" s="16"/>
    </row>
    <row r="10" ht="20.05" customHeight="1">
      <c r="B10" s="33"/>
      <c r="C10" s="34">
        <v>29734</v>
      </c>
      <c r="D10" s="23"/>
      <c r="E10" s="35">
        <v>4618</v>
      </c>
      <c r="F10" s="35">
        <v>7506</v>
      </c>
      <c r="G10" s="16">
        <f>C10/C9-1</f>
        <v>0.0284311012728279</v>
      </c>
      <c r="H10" s="16">
        <f>(E10+F10-C10)/C10</f>
        <v>-0.5922512948140179</v>
      </c>
      <c r="I10" s="16">
        <f>AVERAGE(H7:H10)</f>
        <v>-0.587800500829221</v>
      </c>
      <c r="J10" s="16"/>
    </row>
    <row r="11" ht="20.05" customHeight="1">
      <c r="B11" s="33"/>
      <c r="C11" s="34">
        <v>30145</v>
      </c>
      <c r="D11" s="23"/>
      <c r="E11" s="35">
        <v>5175</v>
      </c>
      <c r="F11" s="35">
        <v>7003</v>
      </c>
      <c r="G11" s="16">
        <f>C11/C10-1</f>
        <v>0.0138225600322863</v>
      </c>
      <c r="H11" s="16">
        <f>(E11+F11-C11)/C11</f>
        <v>-0.596019240338365</v>
      </c>
      <c r="I11" s="16">
        <f>AVERAGE(H8:H11)</f>
        <v>-0.5898527445553829</v>
      </c>
      <c r="J11" s="16"/>
    </row>
    <row r="12" ht="20.05" customHeight="1">
      <c r="B12" s="36">
        <v>2017</v>
      </c>
      <c r="C12" s="34">
        <v>31022</v>
      </c>
      <c r="D12" s="23"/>
      <c r="E12" s="35">
        <v>4773</v>
      </c>
      <c r="F12" s="35">
        <v>9376</v>
      </c>
      <c r="G12" s="16">
        <f>C12/C11-1</f>
        <v>0.0290927185271189</v>
      </c>
      <c r="H12" s="16">
        <f>(E12+F12-C12)/C12</f>
        <v>-0.54390432596222</v>
      </c>
      <c r="I12" s="16">
        <f>AVERAGE(H9:H12)</f>
        <v>-0.578381291371623</v>
      </c>
      <c r="J12" s="16"/>
    </row>
    <row r="13" ht="20.05" customHeight="1">
      <c r="B13" s="33"/>
      <c r="C13" s="34">
        <v>32999</v>
      </c>
      <c r="D13" s="23"/>
      <c r="E13" s="35">
        <v>4857</v>
      </c>
      <c r="F13" s="35">
        <v>8119</v>
      </c>
      <c r="G13" s="16">
        <f>C13/C12-1</f>
        <v>0.06372896653987491</v>
      </c>
      <c r="H13" s="16">
        <f>(E13+F13-C13)/C13</f>
        <v>-0.606775962907967</v>
      </c>
      <c r="I13" s="16">
        <f>AVERAGE(H10:H13)</f>
        <v>-0.584737706005643</v>
      </c>
      <c r="J13" s="16"/>
    </row>
    <row r="14" ht="20.05" customHeight="1">
      <c r="B14" s="33"/>
      <c r="C14" s="34">
        <v>32982</v>
      </c>
      <c r="D14" s="23"/>
      <c r="E14" s="35">
        <v>5051</v>
      </c>
      <c r="F14" s="35">
        <v>8518</v>
      </c>
      <c r="G14" s="16">
        <f>C14/C13-1</f>
        <v>-0.000515167126276554</v>
      </c>
      <c r="H14" s="16">
        <f>(E14+F14-C14)/C14</f>
        <v>-0.588593778424595</v>
      </c>
      <c r="I14" s="16">
        <f>AVERAGE(H11:H14)</f>
        <v>-0.583823326908287</v>
      </c>
      <c r="J14" s="16"/>
    </row>
    <row r="15" ht="20.05" customHeight="1">
      <c r="B15" s="33"/>
      <c r="C15" s="34">
        <v>31253</v>
      </c>
      <c r="D15" s="23"/>
      <c r="E15" s="35">
        <v>5765</v>
      </c>
      <c r="F15" s="35">
        <v>6688</v>
      </c>
      <c r="G15" s="16">
        <f>C15/C14-1</f>
        <v>-0.0524225335031229</v>
      </c>
      <c r="H15" s="16">
        <f>(E15+F15-C15)/C15</f>
        <v>-0.6015422519438129</v>
      </c>
      <c r="I15" s="16">
        <f>AVERAGE(H12:H15)</f>
        <v>-0.5852040798096489</v>
      </c>
      <c r="J15" s="16"/>
    </row>
    <row r="16" ht="20.05" customHeight="1">
      <c r="B16" s="36">
        <v>2018</v>
      </c>
      <c r="C16" s="34">
        <v>32343</v>
      </c>
      <c r="D16" s="23"/>
      <c r="E16" s="35">
        <v>5373</v>
      </c>
      <c r="F16" s="35">
        <v>7978</v>
      </c>
      <c r="G16" s="16">
        <f>C16/C15-1</f>
        <v>0.0348766518414232</v>
      </c>
      <c r="H16" s="16">
        <f>(E16+F16-C16)/C16</f>
        <v>-0.587205886899793</v>
      </c>
      <c r="I16" s="16">
        <f>AVERAGE(H13:H16)</f>
        <v>-0.5960294700440421</v>
      </c>
      <c r="J16" s="16"/>
    </row>
    <row r="17" ht="20.05" customHeight="1">
      <c r="B17" s="33"/>
      <c r="C17" s="34">
        <v>32025</v>
      </c>
      <c r="D17" s="23"/>
      <c r="E17" s="35">
        <v>4958</v>
      </c>
      <c r="F17" s="35">
        <v>4829</v>
      </c>
      <c r="G17" s="16">
        <f>C17/C16-1</f>
        <v>-0.00983211204897505</v>
      </c>
      <c r="H17" s="16">
        <f>(E17+F17-C17)/C17</f>
        <v>-0.694395003903201</v>
      </c>
      <c r="I17" s="16">
        <f>AVERAGE(H14:H17)</f>
        <v>-0.617934230292851</v>
      </c>
      <c r="J17" s="16"/>
    </row>
    <row r="18" ht="20.05" customHeight="1">
      <c r="B18" s="33"/>
      <c r="C18" s="34">
        <v>34835</v>
      </c>
      <c r="D18" s="23"/>
      <c r="E18" s="35">
        <v>5542</v>
      </c>
      <c r="F18" s="35">
        <v>7880</v>
      </c>
      <c r="G18" s="16">
        <f>C18/C17-1</f>
        <v>0.087743950039032</v>
      </c>
      <c r="H18" s="16">
        <f>(E18+F18-C18)/C18</f>
        <v>-0.614697861346347</v>
      </c>
      <c r="I18" s="16">
        <f>AVERAGE(H15:H18)</f>
        <v>-0.6244602510232889</v>
      </c>
      <c r="J18" s="16"/>
    </row>
    <row r="19" ht="20.05" customHeight="1">
      <c r="B19" s="33"/>
      <c r="C19" s="34">
        <v>31581</v>
      </c>
      <c r="D19" s="23"/>
      <c r="E19" s="35">
        <v>5533</v>
      </c>
      <c r="F19" s="35">
        <v>6292</v>
      </c>
      <c r="G19" s="16">
        <f>C19/C18-1</f>
        <v>-0.0934117984785417</v>
      </c>
      <c r="H19" s="16">
        <f>(E19+F19-C19)/C19</f>
        <v>-0.6255660048763499</v>
      </c>
      <c r="I19" s="16">
        <f>AVERAGE(H16:H19)</f>
        <v>-0.6304661892564229</v>
      </c>
      <c r="J19" s="16"/>
    </row>
    <row r="20" ht="20.05" customHeight="1">
      <c r="B20" s="36">
        <v>2019</v>
      </c>
      <c r="C20" s="34">
        <v>34480</v>
      </c>
      <c r="D20" s="23"/>
      <c r="E20" s="35">
        <v>5642</v>
      </c>
      <c r="F20" s="35">
        <v>8504</v>
      </c>
      <c r="G20" s="16">
        <f>C20/C19-1</f>
        <v>0.09179569994617021</v>
      </c>
      <c r="H20" s="16">
        <f>(E20+F20-C20)/C20</f>
        <v>-0.589733178654292</v>
      </c>
      <c r="I20" s="16">
        <f>AVERAGE(H17:H20)</f>
        <v>-0.631098012195048</v>
      </c>
      <c r="J20" s="16"/>
    </row>
    <row r="21" ht="20.05" customHeight="1">
      <c r="B21" s="33"/>
      <c r="C21" s="34">
        <v>34865</v>
      </c>
      <c r="D21" s="23"/>
      <c r="E21" s="35">
        <v>5825</v>
      </c>
      <c r="F21" s="35">
        <v>6994</v>
      </c>
      <c r="G21" s="16">
        <f>C21/C20-1</f>
        <v>0.0111658932714617</v>
      </c>
      <c r="H21" s="16">
        <f>(E21+F21-C21)/C21</f>
        <v>-0.632324680912089</v>
      </c>
      <c r="I21" s="16">
        <f>AVERAGE(H18:H21)</f>
        <v>-0.61558043144727</v>
      </c>
      <c r="J21" s="16"/>
    </row>
    <row r="22" ht="20.05" customHeight="1">
      <c r="B22" s="33"/>
      <c r="C22" s="34">
        <v>33286</v>
      </c>
      <c r="D22" s="23"/>
      <c r="E22" s="35">
        <v>5792</v>
      </c>
      <c r="F22" s="35">
        <v>7702</v>
      </c>
      <c r="G22" s="16">
        <f>C22/C21-1</f>
        <v>-0.0452889717481715</v>
      </c>
      <c r="H22" s="16">
        <f>(E22+F22-C22)/C22</f>
        <v>-0.594604338160187</v>
      </c>
      <c r="I22" s="16">
        <f>AVERAGE(H19:H22)</f>
        <v>-0.61055705065073</v>
      </c>
      <c r="J22" s="16"/>
    </row>
    <row r="23" ht="20.05" customHeight="1">
      <c r="B23" s="33"/>
      <c r="C23" s="34">
        <v>32936</v>
      </c>
      <c r="D23" s="35">
        <v>34739.1</v>
      </c>
      <c r="E23" s="35">
        <v>5919</v>
      </c>
      <c r="F23" s="35">
        <v>4392</v>
      </c>
      <c r="G23" s="16">
        <f>C23/C22-1</f>
        <v>-0.0105149312023073</v>
      </c>
      <c r="H23" s="16">
        <f>(E23+F23-C23)/C23</f>
        <v>-0.686938304590721</v>
      </c>
      <c r="I23" s="16">
        <f>AVERAGE(H20:H23)</f>
        <v>-0.625900125579322</v>
      </c>
      <c r="J23" s="16"/>
    </row>
    <row r="24" ht="20.05" customHeight="1">
      <c r="B24" s="36">
        <v>2020</v>
      </c>
      <c r="C24" s="34">
        <v>34194</v>
      </c>
      <c r="D24" s="35">
        <v>36204</v>
      </c>
      <c r="E24" s="35">
        <v>6849</v>
      </c>
      <c r="F24" s="35">
        <v>8301</v>
      </c>
      <c r="G24" s="16">
        <f>C24/C23-1</f>
        <v>0.0381952878309449</v>
      </c>
      <c r="H24" s="16">
        <f>(E24+F24-C24)/C24</f>
        <v>-0.556939814002457</v>
      </c>
      <c r="I24" s="16">
        <f>AVERAGE(H21:H24)</f>
        <v>-0.617701784416364</v>
      </c>
      <c r="J24" s="16"/>
    </row>
    <row r="25" ht="20.05" customHeight="1">
      <c r="B25" s="33"/>
      <c r="C25" s="34">
        <v>32662</v>
      </c>
      <c r="D25" s="35">
        <v>34516.35</v>
      </c>
      <c r="E25" s="35">
        <v>7078</v>
      </c>
      <c r="F25" s="35">
        <v>7132</v>
      </c>
      <c r="G25" s="16">
        <f>C25/C24-1</f>
        <v>-0.0448031818447681</v>
      </c>
      <c r="H25" s="16">
        <f>(E25+F25-C25)/C25</f>
        <v>-0.564937848264038</v>
      </c>
      <c r="I25" s="16">
        <f>AVERAGE(H22:H25)</f>
        <v>-0.600855076254351</v>
      </c>
      <c r="J25" s="16"/>
    </row>
    <row r="26" ht="20.05" customHeight="1">
      <c r="B26" s="33"/>
      <c r="C26" s="34">
        <v>33085</v>
      </c>
      <c r="D26" s="35">
        <v>33951.72</v>
      </c>
      <c r="E26" s="35">
        <f>21038-SUM(E24:E25)</f>
        <v>7111</v>
      </c>
      <c r="F26" s="35">
        <f>22951-SUM(F24:F25)</f>
        <v>7518</v>
      </c>
      <c r="G26" s="16">
        <f>C26/C25-1</f>
        <v>0.0129508297103668</v>
      </c>
      <c r="H26" s="16">
        <f>(E26+F26-C26)/C26</f>
        <v>-0.557835877285779</v>
      </c>
      <c r="I26" s="16">
        <f>AVERAGE(H23:H26)</f>
        <v>-0.591662961035749</v>
      </c>
      <c r="J26" s="16"/>
    </row>
    <row r="27" ht="20.05" customHeight="1">
      <c r="B27" s="33"/>
      <c r="C27" s="34">
        <v>36520</v>
      </c>
      <c r="D27" s="35">
        <v>33746.7</v>
      </c>
      <c r="E27" s="35">
        <f>28892-SUM(E24:E26)</f>
        <v>7854</v>
      </c>
      <c r="F27" s="35">
        <f>29563-SUM(F24:F26)</f>
        <v>6612</v>
      </c>
      <c r="G27" s="16">
        <f>C27/C26-1</f>
        <v>0.103823484962974</v>
      </c>
      <c r="H27" s="16">
        <f>(E27+F27-C27)/C27</f>
        <v>-0.603888280394304</v>
      </c>
      <c r="I27" s="16">
        <f>AVERAGE(H24:H27)</f>
        <v>-0.570900454986645</v>
      </c>
      <c r="J27" s="16"/>
    </row>
    <row r="28" ht="20.05" customHeight="1">
      <c r="B28" s="36">
        <v>2021</v>
      </c>
      <c r="C28" s="34">
        <v>33945</v>
      </c>
      <c r="D28" s="35">
        <v>34421.634</v>
      </c>
      <c r="E28" s="20">
        <v>7286</v>
      </c>
      <c r="F28" s="20">
        <v>8387</v>
      </c>
      <c r="G28" s="16">
        <f>C28/C27-1</f>
        <v>-0.0705093099671413</v>
      </c>
      <c r="H28" s="16">
        <f>(E28+F28-C28)/C28</f>
        <v>-0.538282515834438</v>
      </c>
      <c r="I28" s="16">
        <f>AVERAGE(H25:H28)</f>
        <v>-0.5662361304446401</v>
      </c>
      <c r="J28" s="16"/>
    </row>
    <row r="29" ht="20.05" customHeight="1">
      <c r="B29" s="33"/>
      <c r="C29" s="34">
        <f>69480-C28</f>
        <v>35535</v>
      </c>
      <c r="D29" s="35">
        <v>34623.9</v>
      </c>
      <c r="E29" s="20">
        <f>14698-E28</f>
        <v>7412</v>
      </c>
      <c r="F29" s="20">
        <f>16920-F28</f>
        <v>8533</v>
      </c>
      <c r="G29" s="16">
        <f>C29/C28-1</f>
        <v>0.0468404772425983</v>
      </c>
      <c r="H29" s="16">
        <f>(E29+F29-C29)/C29</f>
        <v>-0.551287463064584</v>
      </c>
      <c r="I29" s="16">
        <f>AVERAGE(H26:H29)</f>
        <v>-0.562823534144776</v>
      </c>
      <c r="J29" s="16"/>
    </row>
    <row r="30" ht="20.05" customHeight="1">
      <c r="B30" s="33"/>
      <c r="C30" s="34">
        <f>106043-SUM(C28:C29)</f>
        <v>36563</v>
      </c>
      <c r="D30" s="35">
        <v>35535</v>
      </c>
      <c r="E30" s="20">
        <f>22183-SUM(E28:E29)</f>
        <v>7485</v>
      </c>
      <c r="F30" s="20">
        <f>25663-SUM(F28:F29)</f>
        <v>8743</v>
      </c>
      <c r="G30" s="16">
        <f>C30/C29-1</f>
        <v>0.0289292247080343</v>
      </c>
      <c r="H30" s="16">
        <f>(E30+F30-C30)/C30</f>
        <v>-0.556163334518502</v>
      </c>
      <c r="I30" s="16">
        <f>AVERAGE(H27:H30)</f>
        <v>-0.562405398452957</v>
      </c>
      <c r="J30" s="16"/>
    </row>
    <row r="31" ht="20.05" customHeight="1">
      <c r="B31" s="33"/>
      <c r="C31" s="34">
        <f>143210-SUM(C28:C30)</f>
        <v>37167</v>
      </c>
      <c r="D31" s="35">
        <v>37659.89</v>
      </c>
      <c r="E31" s="20">
        <f>31816-SUM(E28:E30)</f>
        <v>9633</v>
      </c>
      <c r="F31" s="20">
        <f>33948-SUM(F28:F30)</f>
        <v>8285</v>
      </c>
      <c r="G31" s="16">
        <f>C31/C30-1</f>
        <v>0.0165194322128928</v>
      </c>
      <c r="H31" s="16">
        <f>(E31+F31-C31)/C31</f>
        <v>-0.5179056690074531</v>
      </c>
      <c r="I31" s="16">
        <f>AVERAGE(H28:H31)</f>
        <v>-0.5409097456062441</v>
      </c>
      <c r="J31" s="16"/>
    </row>
    <row r="32" ht="20.05" customHeight="1">
      <c r="B32" s="36">
        <v>2022</v>
      </c>
      <c r="C32" s="34">
        <v>35208</v>
      </c>
      <c r="D32" s="35">
        <v>36795.33</v>
      </c>
      <c r="E32" s="20">
        <v>7976</v>
      </c>
      <c r="F32" s="20">
        <v>7856</v>
      </c>
      <c r="G32" s="16">
        <f>C32/C31-1</f>
        <v>-0.0527080474614577</v>
      </c>
      <c r="H32" s="16">
        <f>(E32+F32-C32)/C32</f>
        <v>-0.550329470574869</v>
      </c>
      <c r="I32" s="16">
        <f>AVERAGE(H29:H32)</f>
        <v>-0.543921484291352</v>
      </c>
      <c r="J32" s="16">
        <v>-0.5409097456062441</v>
      </c>
    </row>
    <row r="33" ht="20.05" customHeight="1">
      <c r="B33" s="33"/>
      <c r="C33" s="34"/>
      <c r="D33" s="35">
        <f>'Model'!C6</f>
        <v>35912.16</v>
      </c>
      <c r="E33" s="23"/>
      <c r="F33" s="23"/>
      <c r="G33" s="12"/>
      <c r="H33" s="23"/>
      <c r="I33" s="23"/>
      <c r="J33" s="12">
        <f>'Model'!C7</f>
        <v>-0.543921484291352</v>
      </c>
    </row>
    <row r="34" ht="20.05" customHeight="1">
      <c r="B34" s="33"/>
      <c r="C34" s="34"/>
      <c r="D34" s="35">
        <f>'Model'!D6</f>
        <v>36989.5248</v>
      </c>
      <c r="E34" s="23"/>
      <c r="F34" s="23"/>
      <c r="G34" s="12"/>
      <c r="H34" s="12"/>
      <c r="I34" s="12"/>
      <c r="J34" s="23"/>
    </row>
    <row r="35" ht="20.05" customHeight="1">
      <c r="B35" s="33"/>
      <c r="C35" s="34"/>
      <c r="D35" s="35">
        <f>'Model'!E6</f>
        <v>37729.315296</v>
      </c>
      <c r="E35" s="35">
        <f>SUM(C23:C31)</f>
        <v>312607</v>
      </c>
      <c r="F35" s="35">
        <f>SUM(D23:D31)</f>
        <v>315398.294</v>
      </c>
      <c r="G35" s="12"/>
      <c r="H35" s="12"/>
      <c r="I35" s="12"/>
      <c r="J35" s="12"/>
    </row>
    <row r="36" ht="20.05" customHeight="1">
      <c r="B36" s="36">
        <v>2023</v>
      </c>
      <c r="C36" s="34"/>
      <c r="D36" s="35">
        <f>'Model'!F6</f>
        <v>37352.02214304</v>
      </c>
      <c r="E36" s="23"/>
      <c r="F36" s="23"/>
      <c r="G36" s="12"/>
      <c r="H36" s="12"/>
      <c r="I36" s="12"/>
      <c r="J3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AA5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59375" style="37" customWidth="1"/>
    <col min="2" max="2" width="7.84375" style="37" customWidth="1"/>
    <col min="3" max="15" width="10.8438" style="37" customWidth="1"/>
    <col min="16" max="16" width="8.66406" style="41" customWidth="1"/>
    <col min="17" max="27" width="10.7969" style="41" customWidth="1"/>
    <col min="28" max="16384" width="16.3516" style="41" customWidth="1"/>
  </cols>
  <sheetData>
    <row r="1" ht="4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28">
        <v>1</v>
      </c>
      <c r="C3" t="s" s="28">
        <v>45</v>
      </c>
      <c r="D3" t="s" s="28">
        <v>8</v>
      </c>
      <c r="E3" t="s" s="28">
        <v>9</v>
      </c>
      <c r="F3" t="s" s="28">
        <v>10</v>
      </c>
      <c r="G3" t="s" s="28">
        <v>12</v>
      </c>
      <c r="H3" t="s" s="28">
        <v>46</v>
      </c>
      <c r="I3" t="s" s="28">
        <v>47</v>
      </c>
      <c r="J3" t="s" s="28">
        <v>48</v>
      </c>
      <c r="K3" t="s" s="28">
        <v>34</v>
      </c>
      <c r="L3" t="s" s="28">
        <v>36</v>
      </c>
      <c r="M3" t="s" s="28">
        <v>30</v>
      </c>
      <c r="N3" t="s" s="28">
        <v>36</v>
      </c>
      <c r="O3" s="38"/>
    </row>
    <row r="4" ht="20.25" customHeight="1">
      <c r="B4" s="29">
        <v>2015</v>
      </c>
      <c r="C4" s="39">
        <v>20240</v>
      </c>
      <c r="D4" s="40">
        <v>9273</v>
      </c>
      <c r="E4" s="40">
        <v>-5988</v>
      </c>
      <c r="F4" s="40"/>
      <c r="G4" s="40"/>
      <c r="H4" s="40"/>
      <c r="I4" s="40">
        <v>-949</v>
      </c>
      <c r="J4" s="40">
        <f>F4+D4+E4</f>
        <v>3285</v>
      </c>
      <c r="K4" s="40"/>
      <c r="L4" s="40"/>
      <c r="M4" s="40">
        <f>-(I4-F4)</f>
        <v>949</v>
      </c>
      <c r="N4" s="40"/>
      <c r="O4" s="40">
        <v>1</v>
      </c>
    </row>
    <row r="5" ht="20.05" customHeight="1">
      <c r="B5" s="33"/>
      <c r="C5" s="19">
        <v>24869</v>
      </c>
      <c r="D5" s="20">
        <v>9367</v>
      </c>
      <c r="E5" s="20">
        <v>-4146</v>
      </c>
      <c r="F5" s="20"/>
      <c r="G5" s="20"/>
      <c r="H5" s="20"/>
      <c r="I5" s="20">
        <v>-1300</v>
      </c>
      <c r="J5" s="20">
        <f>F5+D5+E5</f>
        <v>5221</v>
      </c>
      <c r="K5" s="20"/>
      <c r="L5" s="20"/>
      <c r="M5" s="20">
        <f>-(I5-F5)+M4</f>
        <v>2249</v>
      </c>
      <c r="N5" s="20"/>
      <c r="O5" s="20">
        <f>1+O4</f>
        <v>2</v>
      </c>
    </row>
    <row r="6" ht="20.05" customHeight="1">
      <c r="B6" s="33"/>
      <c r="C6" s="19">
        <v>23779</v>
      </c>
      <c r="D6" s="20">
        <v>12670</v>
      </c>
      <c r="E6" s="20">
        <v>-9084</v>
      </c>
      <c r="F6" s="20"/>
      <c r="G6" s="20"/>
      <c r="H6" s="20"/>
      <c r="I6" s="20">
        <v>-2278</v>
      </c>
      <c r="J6" s="20">
        <f>F6+D6+E6</f>
        <v>3586</v>
      </c>
      <c r="K6" s="20"/>
      <c r="L6" s="20"/>
      <c r="M6" s="20">
        <f>-(I6-F6)+M5</f>
        <v>4527</v>
      </c>
      <c r="N6" s="20"/>
      <c r="O6" s="20">
        <f>1+O5</f>
        <v>3</v>
      </c>
    </row>
    <row r="7" ht="20.05" customHeight="1">
      <c r="B7" s="33"/>
      <c r="C7" s="19">
        <v>29114</v>
      </c>
      <c r="D7" s="20">
        <v>12359</v>
      </c>
      <c r="E7" s="20">
        <v>-8203</v>
      </c>
      <c r="F7" s="20"/>
      <c r="G7" s="20"/>
      <c r="H7" s="20"/>
      <c r="I7" s="20">
        <v>-1880</v>
      </c>
      <c r="J7" s="20">
        <f>F7+D7+E7</f>
        <v>4156</v>
      </c>
      <c r="K7" s="20"/>
      <c r="L7" s="20"/>
      <c r="M7" s="20">
        <f>-(I7-F7)+M6</f>
        <v>6407</v>
      </c>
      <c r="N7" s="20"/>
      <c r="O7" s="20">
        <f>1+O6</f>
        <v>4</v>
      </c>
    </row>
    <row r="8" ht="20.05" customHeight="1">
      <c r="B8" s="36">
        <v>2016</v>
      </c>
      <c r="C8" s="19">
        <v>24761</v>
      </c>
      <c r="D8" s="20">
        <v>13143</v>
      </c>
      <c r="E8" s="20">
        <v>-5582</v>
      </c>
      <c r="F8" s="20"/>
      <c r="G8" s="20"/>
      <c r="H8" s="20"/>
      <c r="I8" s="20">
        <v>314</v>
      </c>
      <c r="J8" s="20">
        <f>F8+D8+E8</f>
        <v>7561</v>
      </c>
      <c r="K8" s="20">
        <f>AVERAGE(J5:J8)</f>
        <v>5131</v>
      </c>
      <c r="L8" s="20"/>
      <c r="M8" s="20">
        <f>-(I8-F8)+M7</f>
        <v>6093</v>
      </c>
      <c r="N8" s="20"/>
      <c r="O8" s="20">
        <f>1+O7</f>
        <v>5</v>
      </c>
    </row>
    <row r="9" ht="20.05" customHeight="1">
      <c r="B9" s="33"/>
      <c r="C9" s="19">
        <v>27974</v>
      </c>
      <c r="D9" s="20">
        <v>11546</v>
      </c>
      <c r="E9" s="20">
        <v>-8503</v>
      </c>
      <c r="F9" s="20"/>
      <c r="G9" s="20"/>
      <c r="H9" s="20"/>
      <c r="I9" s="20">
        <v>-17360</v>
      </c>
      <c r="J9" s="20">
        <f>F9+D9+E9</f>
        <v>3043</v>
      </c>
      <c r="K9" s="20">
        <f>AVERAGE(J6:J9)</f>
        <v>4586.5</v>
      </c>
      <c r="L9" s="20"/>
      <c r="M9" s="20">
        <f>-(I9-F9)+M8</f>
        <v>23453</v>
      </c>
      <c r="N9" s="20"/>
      <c r="O9" s="20">
        <f>1+O8</f>
        <v>6</v>
      </c>
    </row>
    <row r="10" ht="20.05" customHeight="1">
      <c r="B10" s="33"/>
      <c r="C10" s="19">
        <v>26041</v>
      </c>
      <c r="D10" s="20">
        <v>14340</v>
      </c>
      <c r="E10" s="20">
        <v>-8605</v>
      </c>
      <c r="F10" s="20"/>
      <c r="G10" s="20"/>
      <c r="H10" s="20"/>
      <c r="I10" s="20">
        <v>1734</v>
      </c>
      <c r="J10" s="20">
        <f>F10+D10+E10</f>
        <v>5735</v>
      </c>
      <c r="K10" s="20">
        <f>AVERAGE(J7:J10)</f>
        <v>5123.75</v>
      </c>
      <c r="L10" s="20"/>
      <c r="M10" s="20">
        <f>-(I10-F10)+M9</f>
        <v>21719</v>
      </c>
      <c r="N10" s="20"/>
      <c r="O10" s="20">
        <f>1+O9</f>
        <v>7</v>
      </c>
    </row>
    <row r="11" ht="20.05" customHeight="1">
      <c r="B11" s="33"/>
      <c r="C11" s="19">
        <v>34452</v>
      </c>
      <c r="D11" s="20">
        <v>8202</v>
      </c>
      <c r="E11" s="20">
        <v>-4867</v>
      </c>
      <c r="F11" s="20"/>
      <c r="G11" s="20"/>
      <c r="H11" s="20"/>
      <c r="I11" s="20">
        <v>-2593</v>
      </c>
      <c r="J11" s="20">
        <f>F11+D11+E11</f>
        <v>3335</v>
      </c>
      <c r="K11" s="20">
        <f>AVERAGE(J8:J11)</f>
        <v>4918.5</v>
      </c>
      <c r="L11" s="20"/>
      <c r="M11" s="20">
        <f>-(I11-F11)+M10</f>
        <v>24312</v>
      </c>
      <c r="N11" s="20"/>
      <c r="O11" s="20">
        <f>1+O10</f>
        <v>8</v>
      </c>
    </row>
    <row r="12" ht="20.05" customHeight="1">
      <c r="B12" s="36">
        <v>2017</v>
      </c>
      <c r="C12" s="19">
        <v>25603</v>
      </c>
      <c r="D12" s="20">
        <v>13070</v>
      </c>
      <c r="E12" s="20">
        <v>-6540</v>
      </c>
      <c r="F12" s="20"/>
      <c r="G12" s="20"/>
      <c r="H12" s="20"/>
      <c r="I12" s="20">
        <v>-2570</v>
      </c>
      <c r="J12" s="20">
        <f>F12+D12+E12</f>
        <v>6530</v>
      </c>
      <c r="K12" s="20">
        <f>AVERAGE(J9:J12)</f>
        <v>4660.75</v>
      </c>
      <c r="L12" s="20"/>
      <c r="M12" s="20">
        <f>-(I12-F12)+M11</f>
        <v>26882</v>
      </c>
      <c r="N12" s="20"/>
      <c r="O12" s="20">
        <f>1+O11</f>
        <v>9</v>
      </c>
    </row>
    <row r="13" ht="20.05" customHeight="1">
      <c r="B13" s="33"/>
      <c r="C13" s="19">
        <v>29756</v>
      </c>
      <c r="D13" s="20">
        <v>9190</v>
      </c>
      <c r="E13" s="20">
        <v>-8043</v>
      </c>
      <c r="F13" s="20"/>
      <c r="G13" s="20"/>
      <c r="H13" s="20"/>
      <c r="I13" s="20">
        <v>-15784</v>
      </c>
      <c r="J13" s="20">
        <f>F13+D13+E13</f>
        <v>1147</v>
      </c>
      <c r="K13" s="20">
        <f>AVERAGE(J10:J13)</f>
        <v>4186.75</v>
      </c>
      <c r="L13" s="20"/>
      <c r="M13" s="20">
        <f>-(I13-F13)+M12</f>
        <v>42666</v>
      </c>
      <c r="N13" s="20"/>
      <c r="O13" s="20">
        <f>1+O12</f>
        <v>10</v>
      </c>
    </row>
    <row r="14" ht="20.05" customHeight="1">
      <c r="B14" s="33"/>
      <c r="C14" s="19">
        <v>29415</v>
      </c>
      <c r="D14" s="20">
        <v>14529</v>
      </c>
      <c r="E14" s="20">
        <v>-6207</v>
      </c>
      <c r="F14" s="20"/>
      <c r="G14" s="20"/>
      <c r="H14" s="20"/>
      <c r="I14" s="20">
        <v>-327</v>
      </c>
      <c r="J14" s="20">
        <f>F14+D14+E14</f>
        <v>8322</v>
      </c>
      <c r="K14" s="20">
        <f>AVERAGE(J11:J14)</f>
        <v>4833.5</v>
      </c>
      <c r="L14" s="20"/>
      <c r="M14" s="20">
        <f>-(I14-F14)+M13</f>
        <v>42993</v>
      </c>
      <c r="N14" s="20"/>
      <c r="O14" s="20">
        <f>1+O13</f>
        <v>11</v>
      </c>
    </row>
    <row r="15" ht="20.05" customHeight="1">
      <c r="B15" s="33"/>
      <c r="C15" s="19">
        <v>40337</v>
      </c>
      <c r="D15" s="20">
        <v>13116</v>
      </c>
      <c r="E15" s="20">
        <v>-12217</v>
      </c>
      <c r="F15" s="20"/>
      <c r="G15" s="20"/>
      <c r="H15" s="20"/>
      <c r="I15" s="20">
        <v>-2371</v>
      </c>
      <c r="J15" s="20">
        <f>F15+D15+E15</f>
        <v>899</v>
      </c>
      <c r="K15" s="20">
        <f>AVERAGE(J12:J15)</f>
        <v>4224.5</v>
      </c>
      <c r="L15" s="20"/>
      <c r="M15" s="20">
        <f>-(I15-F15)+M14</f>
        <v>45364</v>
      </c>
      <c r="N15" s="20"/>
      <c r="O15" s="20">
        <f>1+O14</f>
        <v>12</v>
      </c>
    </row>
    <row r="16" ht="20.05" customHeight="1">
      <c r="B16" s="36">
        <v>2018</v>
      </c>
      <c r="C16" s="19">
        <v>28636</v>
      </c>
      <c r="D16" s="20">
        <v>9566</v>
      </c>
      <c r="E16" s="20">
        <v>-6400</v>
      </c>
      <c r="F16" s="20"/>
      <c r="G16" s="20"/>
      <c r="H16" s="20"/>
      <c r="I16" s="20">
        <v>625</v>
      </c>
      <c r="J16" s="20">
        <f>F16+D16+E16</f>
        <v>3166</v>
      </c>
      <c r="K16" s="20">
        <f>AVERAGE(J13:J16)</f>
        <v>3383.5</v>
      </c>
      <c r="L16" s="20"/>
      <c r="M16" s="20">
        <f>-(I16-F16)+M15</f>
        <v>44739</v>
      </c>
      <c r="N16" s="20"/>
      <c r="O16" s="20">
        <f>1+O15</f>
        <v>13</v>
      </c>
    </row>
    <row r="17" ht="20.05" customHeight="1">
      <c r="B17" s="33"/>
      <c r="C17" s="19">
        <v>27208</v>
      </c>
      <c r="D17" s="20">
        <v>6225</v>
      </c>
      <c r="E17" s="20">
        <v>-7800</v>
      </c>
      <c r="F17" s="20"/>
      <c r="G17" s="20"/>
      <c r="H17" s="20"/>
      <c r="I17" s="20">
        <v>-10685</v>
      </c>
      <c r="J17" s="20">
        <f>F17+D17+E17</f>
        <v>-1575</v>
      </c>
      <c r="K17" s="20">
        <f>AVERAGE(J14:J17)</f>
        <v>2703</v>
      </c>
      <c r="L17" s="20"/>
      <c r="M17" s="20">
        <f>-(I17-F17)+M16</f>
        <v>55424</v>
      </c>
      <c r="N17" s="20"/>
      <c r="O17" s="20">
        <f>1+O16</f>
        <v>14</v>
      </c>
    </row>
    <row r="18" ht="20.05" customHeight="1">
      <c r="B18" s="33"/>
      <c r="C18" s="19">
        <v>31355</v>
      </c>
      <c r="D18" s="20">
        <v>12501</v>
      </c>
      <c r="E18" s="20">
        <v>-10002</v>
      </c>
      <c r="F18" s="20"/>
      <c r="G18" s="20"/>
      <c r="H18" s="20"/>
      <c r="I18" s="20">
        <v>-5894</v>
      </c>
      <c r="J18" s="20">
        <f>F18+D18+E18</f>
        <v>2499</v>
      </c>
      <c r="K18" s="20">
        <f>AVERAGE(J15:J18)</f>
        <v>1247.25</v>
      </c>
      <c r="L18" s="20"/>
      <c r="M18" s="20">
        <f>-(I18-F18)+M17</f>
        <v>61318</v>
      </c>
      <c r="N18" s="20"/>
      <c r="O18" s="20">
        <f>1+O17</f>
        <v>15</v>
      </c>
    </row>
    <row r="19" ht="20.05" customHeight="1">
      <c r="B19" s="33"/>
      <c r="C19" s="19">
        <v>40656</v>
      </c>
      <c r="D19" s="20">
        <v>17379</v>
      </c>
      <c r="E19" s="20">
        <v>-10888</v>
      </c>
      <c r="F19" s="20"/>
      <c r="G19" s="20"/>
      <c r="H19" s="20"/>
      <c r="I19" s="20">
        <v>-2504</v>
      </c>
      <c r="J19" s="20">
        <f>F19+D19+E19</f>
        <v>6491</v>
      </c>
      <c r="K19" s="20">
        <f>AVERAGE(J16:J19)</f>
        <v>2645.25</v>
      </c>
      <c r="L19" s="20"/>
      <c r="M19" s="20">
        <f>-(I19-F19)+M18</f>
        <v>63822</v>
      </c>
      <c r="N19" s="20"/>
      <c r="O19" s="20">
        <f>1+O18</f>
        <v>16</v>
      </c>
    </row>
    <row r="20" ht="20.05" customHeight="1">
      <c r="B20" s="36">
        <v>2019</v>
      </c>
      <c r="C20" s="19">
        <v>31366</v>
      </c>
      <c r="D20" s="20">
        <v>13055</v>
      </c>
      <c r="E20" s="20">
        <v>-6208</v>
      </c>
      <c r="F20" s="20"/>
      <c r="G20" s="20"/>
      <c r="H20" s="20"/>
      <c r="I20" s="20">
        <v>-883</v>
      </c>
      <c r="J20" s="20">
        <f>F20+D20+E20</f>
        <v>6847</v>
      </c>
      <c r="K20" s="20">
        <f>AVERAGE(J17:J20)</f>
        <v>3565.5</v>
      </c>
      <c r="L20" s="20"/>
      <c r="M20" s="20">
        <f>-(I20-F20)+M19</f>
        <v>64705</v>
      </c>
      <c r="N20" s="20"/>
      <c r="O20" s="20">
        <f>1+O19</f>
        <v>17</v>
      </c>
    </row>
    <row r="21" ht="20.05" customHeight="1">
      <c r="B21" s="33"/>
      <c r="C21" s="19">
        <v>33737</v>
      </c>
      <c r="D21" s="20">
        <v>14647</v>
      </c>
      <c r="E21" s="20">
        <v>-10132</v>
      </c>
      <c r="F21" s="20"/>
      <c r="G21" s="20"/>
      <c r="H21" s="20"/>
      <c r="I21" s="20">
        <v>-10790</v>
      </c>
      <c r="J21" s="20">
        <f>F21+D21+E21</f>
        <v>4515</v>
      </c>
      <c r="K21" s="20">
        <f>AVERAGE(J18:J21)</f>
        <v>5088</v>
      </c>
      <c r="L21" s="20"/>
      <c r="M21" s="20">
        <f>-(I21-F21)+M20</f>
        <v>75495</v>
      </c>
      <c r="N21" s="20"/>
      <c r="O21" s="20">
        <f>1+O20</f>
        <v>18</v>
      </c>
    </row>
    <row r="22" ht="20.05" customHeight="1">
      <c r="B22" s="33"/>
      <c r="C22" s="19">
        <v>33347</v>
      </c>
      <c r="D22" s="20">
        <v>10561</v>
      </c>
      <c r="E22" s="20">
        <v>-5793</v>
      </c>
      <c r="F22" s="20"/>
      <c r="G22" s="20"/>
      <c r="H22" s="20"/>
      <c r="I22" s="20">
        <v>-6713</v>
      </c>
      <c r="J22" s="20">
        <f>F22+D22+E22</f>
        <v>4768</v>
      </c>
      <c r="K22" s="20">
        <f>AVERAGE(J19:J22)</f>
        <v>5655.25</v>
      </c>
      <c r="L22" s="20"/>
      <c r="M22" s="20">
        <f>-(I22-F22)+M21</f>
        <v>82208</v>
      </c>
      <c r="N22" s="20"/>
      <c r="O22" s="20">
        <f>1+O21</f>
        <v>19</v>
      </c>
    </row>
    <row r="23" ht="20.05" customHeight="1">
      <c r="B23" s="33"/>
      <c r="C23" s="19">
        <v>36922</v>
      </c>
      <c r="D23" s="20">
        <v>16686</v>
      </c>
      <c r="E23" s="20">
        <v>-13658</v>
      </c>
      <c r="F23" s="20"/>
      <c r="G23" s="20"/>
      <c r="H23" s="20"/>
      <c r="I23" s="20">
        <v>139</v>
      </c>
      <c r="J23" s="20">
        <f>F23+D23+E23</f>
        <v>3028</v>
      </c>
      <c r="K23" s="20">
        <f>AVERAGE(J20:J23)</f>
        <v>4789.5</v>
      </c>
      <c r="L23" s="20"/>
      <c r="M23" s="20">
        <f>-(I23-F23)+M22</f>
        <v>82069</v>
      </c>
      <c r="N23" s="20"/>
      <c r="O23" s="20">
        <f>1+O22</f>
        <v>20</v>
      </c>
    </row>
    <row r="24" ht="20.05" customHeight="1">
      <c r="B24" s="36">
        <v>2020</v>
      </c>
      <c r="C24" s="19">
        <v>29273</v>
      </c>
      <c r="D24" s="20">
        <v>17603</v>
      </c>
      <c r="E24" s="20">
        <v>-5089</v>
      </c>
      <c r="F24" s="20">
        <v>-1250</v>
      </c>
      <c r="G24" s="20"/>
      <c r="H24" s="20"/>
      <c r="I24" s="20">
        <v>-6850</v>
      </c>
      <c r="J24" s="20">
        <f>F24+D24+E24</f>
        <v>11264</v>
      </c>
      <c r="K24" s="20">
        <f>AVERAGE(J21:J24)</f>
        <v>5893.75</v>
      </c>
      <c r="L24" s="20"/>
      <c r="M24" s="20">
        <f>-(I24-F24)+M23</f>
        <v>87669</v>
      </c>
      <c r="N24" s="20"/>
      <c r="O24" s="20">
        <f>1+O23</f>
        <v>21</v>
      </c>
    </row>
    <row r="25" ht="20.05" customHeight="1">
      <c r="B25" s="33"/>
      <c r="C25" s="19">
        <v>31786</v>
      </c>
      <c r="D25" s="20">
        <v>16568</v>
      </c>
      <c r="E25" s="20">
        <v>-10848</v>
      </c>
      <c r="F25" s="20">
        <v>-1250</v>
      </c>
      <c r="G25" s="20"/>
      <c r="H25" s="20"/>
      <c r="I25" s="20">
        <v>-1454</v>
      </c>
      <c r="J25" s="20">
        <f>F25+D25+E25</f>
        <v>4470</v>
      </c>
      <c r="K25" s="20">
        <f>AVERAGE(J22:J25)</f>
        <v>5882.5</v>
      </c>
      <c r="L25" s="20"/>
      <c r="M25" s="20">
        <f>-(I25-F25)+M24</f>
        <v>87873</v>
      </c>
      <c r="N25" s="20"/>
      <c r="O25" s="20">
        <f>1+O24</f>
        <v>22</v>
      </c>
    </row>
    <row r="26" ht="20.05" customHeight="1">
      <c r="B26" s="33"/>
      <c r="C26" s="19">
        <f>96087-SUM(C24:C25)</f>
        <v>35028</v>
      </c>
      <c r="D26" s="20">
        <f>47450-SUM(D24:D25)</f>
        <v>13279</v>
      </c>
      <c r="E26" s="20">
        <f>-19290-SUM(E24:E25)</f>
        <v>-3353</v>
      </c>
      <c r="F26" s="20">
        <v>-1250</v>
      </c>
      <c r="G26" s="20"/>
      <c r="H26" s="20"/>
      <c r="I26" s="20">
        <f>-29190-SUM(I24:I25)</f>
        <v>-20886</v>
      </c>
      <c r="J26" s="20">
        <f>F26+D26+E26</f>
        <v>8676</v>
      </c>
      <c r="K26" s="20">
        <f>AVERAGE(J23:J26)</f>
        <v>6859.5</v>
      </c>
      <c r="L26" s="20"/>
      <c r="M26" s="20">
        <f>-(I26-F26)+M25</f>
        <v>107509</v>
      </c>
      <c r="N26" s="20"/>
      <c r="O26" s="20">
        <f>1+O25</f>
        <v>23</v>
      </c>
    </row>
    <row r="27" ht="20.05" customHeight="1">
      <c r="B27" s="33"/>
      <c r="C27" s="19">
        <f>133610-SUM(C24:C26)</f>
        <v>37523</v>
      </c>
      <c r="D27" s="20">
        <f>65317-SUM(D24:D26)</f>
        <v>17867</v>
      </c>
      <c r="E27" s="20">
        <f>-35256-SUM(E24:E26)</f>
        <v>-15966</v>
      </c>
      <c r="F27" s="20">
        <v>-1250</v>
      </c>
      <c r="G27" s="20"/>
      <c r="H27" s="20"/>
      <c r="I27" s="20">
        <f>-27753-SUM(I24:I26)</f>
        <v>1437</v>
      </c>
      <c r="J27" s="20">
        <f>F27+D27+E27</f>
        <v>651</v>
      </c>
      <c r="K27" s="20">
        <f>AVERAGE(J24:J27)</f>
        <v>6265.25</v>
      </c>
      <c r="L27" s="20"/>
      <c r="M27" s="20">
        <f>-(I27-F27)+M26</f>
        <v>104822</v>
      </c>
      <c r="N27" s="20"/>
      <c r="O27" s="20">
        <f>1+O26</f>
        <v>24</v>
      </c>
    </row>
    <row r="28" ht="20.05" customHeight="1">
      <c r="B28" s="36">
        <v>2021</v>
      </c>
      <c r="C28" s="19">
        <v>32141</v>
      </c>
      <c r="D28" s="20">
        <v>17433</v>
      </c>
      <c r="E28" s="20">
        <v>-6763</v>
      </c>
      <c r="F28" s="20">
        <v>-2366</v>
      </c>
      <c r="G28" s="20">
        <f>367-H28-F28</f>
        <v>4133</v>
      </c>
      <c r="H28" s="20">
        <v>-1400</v>
      </c>
      <c r="I28" s="20">
        <v>367</v>
      </c>
      <c r="J28" s="20">
        <f>F28+D28+E28</f>
        <v>8304</v>
      </c>
      <c r="K28" s="20">
        <f>AVERAGE(J25:J28)</f>
        <v>5525.25</v>
      </c>
      <c r="L28" s="20"/>
      <c r="M28" s="20">
        <f>-(G28+H28)+M27</f>
        <v>102089</v>
      </c>
      <c r="N28" s="20"/>
      <c r="O28" s="20">
        <f>1+O27</f>
        <v>25</v>
      </c>
    </row>
    <row r="29" ht="20.05" customHeight="1">
      <c r="B29" s="33"/>
      <c r="C29" s="19">
        <f>68847-C28</f>
        <v>36706</v>
      </c>
      <c r="D29" s="20">
        <f>33085-D28</f>
        <v>15652</v>
      </c>
      <c r="E29" s="20">
        <f>-19056-E28</f>
        <v>-12293</v>
      </c>
      <c r="F29" s="20">
        <f>-2269-F28</f>
        <v>97</v>
      </c>
      <c r="G29" s="20">
        <f>1887-F29-F28-G28-H29-H28</f>
        <v>11165</v>
      </c>
      <c r="H29" s="20">
        <f>-11142-H28</f>
        <v>-9742</v>
      </c>
      <c r="I29" s="20">
        <f>1887-I28</f>
        <v>1520</v>
      </c>
      <c r="J29" s="20">
        <f>F29+D29+E29</f>
        <v>3456</v>
      </c>
      <c r="K29" s="20">
        <f>AVERAGE(J26:J29)</f>
        <v>5271.75</v>
      </c>
      <c r="L29" s="20"/>
      <c r="M29" s="20">
        <f>-(G29+H29)+M28</f>
        <v>100666</v>
      </c>
      <c r="N29" s="20"/>
      <c r="O29" s="20">
        <f>1+O28</f>
        <v>26</v>
      </c>
    </row>
    <row r="30" ht="20.05" customHeight="1">
      <c r="B30" s="33"/>
      <c r="C30" s="19">
        <f>104792-SUM(C28:C29)</f>
        <v>35945</v>
      </c>
      <c r="D30" s="20">
        <f>50972-SUM(D28:D29)</f>
        <v>17887</v>
      </c>
      <c r="E30" s="20">
        <f>-26792-SUM(E28:E29)</f>
        <v>-7736</v>
      </c>
      <c r="F30" s="20">
        <f>-4102-SUM(F28:F29)</f>
        <v>-1833</v>
      </c>
      <c r="G30" s="20">
        <f>-27342-F30-F29-F28-G29-G28-H30-H29-H28</f>
        <v>-27402</v>
      </c>
      <c r="H30" s="20">
        <f>-11136-H29-H28</f>
        <v>6</v>
      </c>
      <c r="I30" s="20">
        <f>-27342-SUM(I28:I29)</f>
        <v>-29229</v>
      </c>
      <c r="J30" s="20">
        <f>F30+D30+E30</f>
        <v>8318</v>
      </c>
      <c r="K30" s="20">
        <f>AVERAGE(J27:J30)</f>
        <v>5182.25</v>
      </c>
      <c r="L30" s="20"/>
      <c r="M30" s="20">
        <f>-(G30+H30)+M29</f>
        <v>128062</v>
      </c>
      <c r="N30" s="20"/>
      <c r="O30" s="20">
        <f>1+O29</f>
        <v>27</v>
      </c>
    </row>
    <row r="31" ht="20.05" customHeight="1">
      <c r="B31" s="33"/>
      <c r="C31" s="19">
        <f>143902-SUM(C28:C30)</f>
        <v>39110</v>
      </c>
      <c r="D31" s="20">
        <f>68353-SUM(D28:D30)</f>
        <v>17381</v>
      </c>
      <c r="E31" s="20">
        <f>-37703-SUM(E28:E30)</f>
        <v>-10911</v>
      </c>
      <c r="F31" s="20">
        <f>-4436-SUM(F28:F30)</f>
        <v>-334</v>
      </c>
      <c r="G31" s="20">
        <f>I31-H31-F31</f>
        <v>14976</v>
      </c>
      <c r="H31" s="20">
        <f>18463-16643-13242-SUM(H28:H30)</f>
        <v>-286</v>
      </c>
      <c r="I31" s="20">
        <f>-12986-SUM(I28:I30)</f>
        <v>14356</v>
      </c>
      <c r="J31" s="20">
        <f>F31+D31+E31</f>
        <v>6136</v>
      </c>
      <c r="K31" s="20">
        <f>AVERAGE(J28:J31)</f>
        <v>6553.5</v>
      </c>
      <c r="L31" s="20"/>
      <c r="M31" s="20">
        <f>-(G31+H31)+M30</f>
        <v>113372</v>
      </c>
      <c r="N31" s="20"/>
      <c r="O31" s="20">
        <f>1+O30</f>
        <v>28</v>
      </c>
    </row>
    <row r="32" ht="20.05" customHeight="1">
      <c r="B32" s="36">
        <v>2022</v>
      </c>
      <c r="C32" s="19">
        <v>34008</v>
      </c>
      <c r="D32" s="20">
        <v>18617</v>
      </c>
      <c r="E32" s="20">
        <v>-8959</v>
      </c>
      <c r="F32" s="20">
        <v>-2183</v>
      </c>
      <c r="G32" s="20">
        <f>I32-H32-F32</f>
        <v>-4228</v>
      </c>
      <c r="H32" s="20">
        <v>45</v>
      </c>
      <c r="I32" s="20">
        <v>-6366</v>
      </c>
      <c r="J32" s="20">
        <f>F32+D32+E32</f>
        <v>7475</v>
      </c>
      <c r="K32" s="20">
        <f>AVERAGE(J29:J32)</f>
        <v>6346.25</v>
      </c>
      <c r="L32" s="20">
        <v>6958.2021042671</v>
      </c>
      <c r="M32" s="20">
        <f>-(G32+H32)+M31</f>
        <v>117555</v>
      </c>
      <c r="N32" s="20">
        <v>141204.808417068</v>
      </c>
      <c r="O32" s="20">
        <f>1+O31</f>
        <v>29</v>
      </c>
    </row>
    <row r="33" ht="20.05" customHeight="1">
      <c r="B33" s="33"/>
      <c r="C33" s="19"/>
      <c r="D33" s="20"/>
      <c r="E33" s="20"/>
      <c r="F33" s="20"/>
      <c r="G33" s="20"/>
      <c r="H33" s="20"/>
      <c r="I33" s="20"/>
      <c r="J33" s="20"/>
      <c r="K33" s="23"/>
      <c r="L33" s="20">
        <f>SUM('Model'!C9:F11)/4</f>
        <v>6850.7192832153</v>
      </c>
      <c r="M33" s="23"/>
      <c r="N33" s="20">
        <f>'Model'!F34</f>
        <v>144957.877132861</v>
      </c>
      <c r="O33" s="20"/>
    </row>
    <row r="35" ht="27.65" customHeight="1">
      <c r="P35" t="s" s="2">
        <v>49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20.25" customHeight="1">
      <c r="P36" s="4"/>
      <c r="Q36" t="s" s="28">
        <v>50</v>
      </c>
      <c r="R36" t="s" s="28">
        <v>51</v>
      </c>
      <c r="S36" t="s" s="28">
        <v>52</v>
      </c>
      <c r="T36" t="s" s="28">
        <v>53</v>
      </c>
      <c r="U36" t="s" s="28">
        <v>54</v>
      </c>
      <c r="V36" t="s" s="28">
        <v>55</v>
      </c>
      <c r="W36" s="38"/>
      <c r="X36" s="38"/>
      <c r="Y36" s="38"/>
      <c r="Z36" s="38"/>
      <c r="AA36" s="38"/>
    </row>
    <row r="37" ht="20.25" customHeight="1">
      <c r="P37" s="29">
        <v>2015</v>
      </c>
      <c r="Q37" s="30">
        <v>-207.8</v>
      </c>
      <c r="R37" s="31">
        <v>-289.42</v>
      </c>
      <c r="S37" s="31">
        <v>-31.79</v>
      </c>
      <c r="T37" s="31">
        <v>-1382</v>
      </c>
      <c r="U37" s="31">
        <v>-913</v>
      </c>
      <c r="V37" s="31">
        <v>-5988</v>
      </c>
      <c r="W37" s="31">
        <f>Q37+R37+S37</f>
        <v>-529.01</v>
      </c>
      <c r="X37" s="31">
        <f>SUM(T37:U37)</f>
        <v>-2295</v>
      </c>
      <c r="Y37" s="31"/>
      <c r="Z37" s="40"/>
      <c r="AA37" s="40"/>
    </row>
    <row r="38" ht="20.05" customHeight="1">
      <c r="P38" s="33"/>
      <c r="Q38" s="34">
        <v>-344.5</v>
      </c>
      <c r="R38" s="35">
        <v>-776.38</v>
      </c>
      <c r="S38" s="35">
        <v>-24.264</v>
      </c>
      <c r="T38" s="35">
        <v>-1396</v>
      </c>
      <c r="U38" s="35">
        <v>-1596</v>
      </c>
      <c r="V38" s="35">
        <v>-4146</v>
      </c>
      <c r="W38" s="35">
        <f>Q38+R38+S38</f>
        <v>-1145.144</v>
      </c>
      <c r="X38" s="35">
        <f>SUM(T38:U38)</f>
        <v>-2992</v>
      </c>
      <c r="Y38" s="35"/>
      <c r="Z38" s="23"/>
      <c r="AA38" s="23"/>
    </row>
    <row r="39" ht="20.05" customHeight="1">
      <c r="P39" s="33"/>
      <c r="Q39" s="34">
        <v>-331.1</v>
      </c>
      <c r="R39" s="35">
        <v>-861.8</v>
      </c>
      <c r="S39" s="35">
        <v>-24.645</v>
      </c>
      <c r="T39" s="35">
        <v>-1638</v>
      </c>
      <c r="U39" s="35">
        <v>-802</v>
      </c>
      <c r="V39" s="35">
        <v>-9084</v>
      </c>
      <c r="W39" s="35">
        <f>Q39+R39+S39</f>
        <v>-1217.545</v>
      </c>
      <c r="X39" s="35">
        <f>SUM(T39:U39)</f>
        <v>-2440</v>
      </c>
      <c r="Y39" s="35"/>
      <c r="Z39" s="23"/>
      <c r="AA39" s="23"/>
    </row>
    <row r="40" ht="20.05" customHeight="1">
      <c r="P40" s="33"/>
      <c r="Q40" s="34">
        <v>-244.2</v>
      </c>
      <c r="R40" s="35">
        <v>-33.3</v>
      </c>
      <c r="S40" s="35">
        <v>-21.777</v>
      </c>
      <c r="T40" s="35">
        <v>-2729</v>
      </c>
      <c r="U40" s="35">
        <v>-1294</v>
      </c>
      <c r="V40" s="35">
        <v>-8203</v>
      </c>
      <c r="W40" s="35">
        <f>Q40+R40+S40</f>
        <v>-299.277</v>
      </c>
      <c r="X40" s="35">
        <f>SUM(T40:U40)</f>
        <v>-4023</v>
      </c>
      <c r="Y40" s="35">
        <f>SUM(V37:V40)</f>
        <v>-27421</v>
      </c>
      <c r="Z40" s="20">
        <f>SUM(W37:W40)</f>
        <v>-3190.976</v>
      </c>
      <c r="AA40" s="20">
        <f>SUM(X37:X40)</f>
        <v>-11750</v>
      </c>
    </row>
    <row r="41" ht="20.05" customHeight="1">
      <c r="P41" s="36">
        <v>2016</v>
      </c>
      <c r="Q41" s="34">
        <v>-150.1</v>
      </c>
      <c r="R41" s="35">
        <v>-187.8</v>
      </c>
      <c r="S41" s="35">
        <v>-13.5</v>
      </c>
      <c r="T41" s="35">
        <v>-1644</v>
      </c>
      <c r="U41" s="35">
        <v>-1255</v>
      </c>
      <c r="V41" s="35">
        <v>-5582</v>
      </c>
      <c r="W41" s="35">
        <f>Q41+R41+S41</f>
        <v>-351.4</v>
      </c>
      <c r="X41" s="35">
        <f>SUM(T41:U41)</f>
        <v>-2899</v>
      </c>
      <c r="Y41" s="35">
        <f>SUM(V38:V41)</f>
        <v>-27015</v>
      </c>
      <c r="Z41" s="20">
        <f>SUM(W38:W41)</f>
        <v>-3013.366</v>
      </c>
      <c r="AA41" s="20">
        <f>SUM(X38:X41)</f>
        <v>-12354</v>
      </c>
    </row>
    <row r="42" ht="20.05" customHeight="1">
      <c r="P42" s="33"/>
      <c r="Q42" s="34">
        <v>-164.2</v>
      </c>
      <c r="R42" s="35">
        <v>-4223.2</v>
      </c>
      <c r="S42" s="35">
        <v>-31.44</v>
      </c>
      <c r="T42" s="35">
        <v>-2062</v>
      </c>
      <c r="U42" s="35">
        <v>981</v>
      </c>
      <c r="V42" s="35">
        <v>-8503</v>
      </c>
      <c r="W42" s="35">
        <f>Q42+R42+S42</f>
        <v>-4418.84</v>
      </c>
      <c r="X42" s="35">
        <f>SUM(T42:U42)</f>
        <v>-1081</v>
      </c>
      <c r="Y42" s="35">
        <f>SUM(V39:V42)</f>
        <v>-31372</v>
      </c>
      <c r="Z42" s="20">
        <f>SUM(W39:W42)</f>
        <v>-6287.062</v>
      </c>
      <c r="AA42" s="20">
        <f>SUM(X39:X42)</f>
        <v>-10443</v>
      </c>
    </row>
    <row r="43" ht="20.05" customHeight="1">
      <c r="P43" s="33"/>
      <c r="Q43" s="34">
        <v>-155.9</v>
      </c>
      <c r="R43" s="35">
        <v>961.7</v>
      </c>
      <c r="S43" s="35">
        <v>-89.36</v>
      </c>
      <c r="T43" s="35">
        <v>-1937</v>
      </c>
      <c r="U43" s="35">
        <v>-2456</v>
      </c>
      <c r="V43" s="35">
        <v>-8605</v>
      </c>
      <c r="W43" s="35">
        <f>Q43+R43+S43</f>
        <v>716.4400000000001</v>
      </c>
      <c r="X43" s="35">
        <f>SUM(T43:U43)</f>
        <v>-4393</v>
      </c>
      <c r="Y43" s="35">
        <f>SUM(V40:V43)</f>
        <v>-30893</v>
      </c>
      <c r="Z43" s="20">
        <f>SUM(W40:W43)</f>
        <v>-4353.077</v>
      </c>
      <c r="AA43" s="20">
        <f>SUM(X40:X43)</f>
        <v>-12396</v>
      </c>
    </row>
    <row r="44" ht="20.05" customHeight="1">
      <c r="P44" s="33"/>
      <c r="Q44" s="34">
        <v>-274.4</v>
      </c>
      <c r="R44" s="35">
        <v>-275.85</v>
      </c>
      <c r="S44" s="35">
        <v>-41.32</v>
      </c>
      <c r="T44" s="35">
        <v>-1648</v>
      </c>
      <c r="U44" s="35">
        <v>-1119</v>
      </c>
      <c r="V44" s="35">
        <v>-4867</v>
      </c>
      <c r="W44" s="35">
        <f>Q44+R44+S44</f>
        <v>-591.5700000000001</v>
      </c>
      <c r="X44" s="35">
        <f>SUM(T44:U44)</f>
        <v>-2767</v>
      </c>
      <c r="Y44" s="35">
        <f>SUM(V41:V44)</f>
        <v>-27557</v>
      </c>
      <c r="Z44" s="20">
        <f>SUM(W41:W44)</f>
        <v>-4645.37</v>
      </c>
      <c r="AA44" s="20">
        <f>SUM(X41:X44)</f>
        <v>-11140</v>
      </c>
    </row>
    <row r="45" ht="20.05" customHeight="1">
      <c r="P45" s="36">
        <v>2017</v>
      </c>
      <c r="Q45" s="34">
        <v>-229</v>
      </c>
      <c r="R45" s="35">
        <v>-221.9</v>
      </c>
      <c r="S45" s="35">
        <v>-71.7</v>
      </c>
      <c r="T45" s="35">
        <v>-1828</v>
      </c>
      <c r="U45" s="35">
        <v>-1239</v>
      </c>
      <c r="V45" s="35">
        <v>-6540</v>
      </c>
      <c r="W45" s="35">
        <f>Q45+R45+S45</f>
        <v>-522.6</v>
      </c>
      <c r="X45" s="35">
        <f>SUM(T45:U45)</f>
        <v>-3067</v>
      </c>
      <c r="Y45" s="35">
        <f>SUM(V42:V45)</f>
        <v>-28515</v>
      </c>
      <c r="Z45" s="20">
        <f>SUM(W42:W45)</f>
        <v>-4816.57</v>
      </c>
      <c r="AA45" s="20">
        <f>SUM(X42:X45)</f>
        <v>-11308</v>
      </c>
    </row>
    <row r="46" ht="20.05" customHeight="1">
      <c r="P46" s="33"/>
      <c r="Q46" s="34">
        <v>-151.6</v>
      </c>
      <c r="R46" s="35">
        <v>-262.1</v>
      </c>
      <c r="S46" s="35">
        <v>-38</v>
      </c>
      <c r="T46" s="35">
        <v>-1007</v>
      </c>
      <c r="U46" s="35">
        <v>-2337</v>
      </c>
      <c r="V46" s="35">
        <v>-8043</v>
      </c>
      <c r="W46" s="35">
        <f>Q46+R46+S46</f>
        <v>-451.7</v>
      </c>
      <c r="X46" s="35">
        <f>SUM(T46:U46)</f>
        <v>-3344</v>
      </c>
      <c r="Y46" s="35">
        <f>SUM(V43:V46)</f>
        <v>-28055</v>
      </c>
      <c r="Z46" s="20">
        <f>SUM(W43:W46)</f>
        <v>-849.4299999999999</v>
      </c>
      <c r="AA46" s="20">
        <f>SUM(X43:X46)</f>
        <v>-13571</v>
      </c>
    </row>
    <row r="47" ht="20.05" customHeight="1">
      <c r="P47" s="33"/>
      <c r="Q47" s="34">
        <v>-257.3</v>
      </c>
      <c r="R47" s="35">
        <v>-396.8</v>
      </c>
      <c r="S47" s="35">
        <v>-11.99</v>
      </c>
      <c r="T47" s="35">
        <v>-1406</v>
      </c>
      <c r="U47" s="35">
        <v>-1640</v>
      </c>
      <c r="V47" s="35">
        <v>-6207</v>
      </c>
      <c r="W47" s="35">
        <f>Q47+R47+S47</f>
        <v>-666.09</v>
      </c>
      <c r="X47" s="35">
        <f>SUM(T47:U47)</f>
        <v>-3046</v>
      </c>
      <c r="Y47" s="35">
        <f>SUM(V44:V47)</f>
        <v>-25657</v>
      </c>
      <c r="Z47" s="20">
        <f>SUM(W44:W47)</f>
        <v>-2231.96</v>
      </c>
      <c r="AA47" s="20">
        <f>SUM(X44:X47)</f>
        <v>-12224</v>
      </c>
    </row>
    <row r="48" ht="20.05" customHeight="1">
      <c r="P48" s="33"/>
      <c r="Q48" s="34">
        <v>-332.7</v>
      </c>
      <c r="R48" s="35">
        <v>-423.7</v>
      </c>
      <c r="S48" s="35">
        <v>-197.13</v>
      </c>
      <c r="T48" s="35">
        <v>-2532</v>
      </c>
      <c r="U48" s="35">
        <v>-1419</v>
      </c>
      <c r="V48" s="35">
        <v>-12217</v>
      </c>
      <c r="W48" s="35">
        <f>Q48+R48+S48</f>
        <v>-953.53</v>
      </c>
      <c r="X48" s="35">
        <f>SUM(T48:U48)</f>
        <v>-3951</v>
      </c>
      <c r="Y48" s="35">
        <f>SUM(V45:V48)</f>
        <v>-33007</v>
      </c>
      <c r="Z48" s="20">
        <f>SUM(W45:W48)</f>
        <v>-2593.92</v>
      </c>
      <c r="AA48" s="20">
        <f>SUM(X45:X48)</f>
        <v>-13408</v>
      </c>
    </row>
    <row r="49" ht="20.05" customHeight="1">
      <c r="P49" s="36">
        <v>2018</v>
      </c>
      <c r="Q49" s="34">
        <v>-378.9</v>
      </c>
      <c r="R49" s="35">
        <v>-477.8</v>
      </c>
      <c r="S49" s="35">
        <v>-258.8</v>
      </c>
      <c r="T49" s="35">
        <v>-1454</v>
      </c>
      <c r="U49" s="35">
        <v>-915</v>
      </c>
      <c r="V49" s="35">
        <v>-6400</v>
      </c>
      <c r="W49" s="35">
        <f>Q49+R49+S49</f>
        <v>-1115.5</v>
      </c>
      <c r="X49" s="35">
        <f>SUM(T49:U49)</f>
        <v>-2369</v>
      </c>
      <c r="Y49" s="35">
        <f>SUM(V46:V49)</f>
        <v>-32867</v>
      </c>
      <c r="Z49" s="20">
        <f>SUM(W46:W49)</f>
        <v>-3186.82</v>
      </c>
      <c r="AA49" s="20">
        <f>SUM(X46:X49)</f>
        <v>-12710</v>
      </c>
    </row>
    <row r="50" ht="20.05" customHeight="1">
      <c r="P50" s="33"/>
      <c r="Q50" s="34">
        <v>-112.6</v>
      </c>
      <c r="R50" s="35">
        <v>-1992.2</v>
      </c>
      <c r="S50" s="35">
        <v>-275.7</v>
      </c>
      <c r="T50" s="35">
        <v>-985</v>
      </c>
      <c r="U50" s="35">
        <v>-1058</v>
      </c>
      <c r="V50" s="35">
        <v>-7800</v>
      </c>
      <c r="W50" s="35">
        <f>Q50+R50+S50</f>
        <v>-2380.5</v>
      </c>
      <c r="X50" s="35">
        <f>SUM(T50:U50)</f>
        <v>-2043</v>
      </c>
      <c r="Y50" s="35">
        <f>SUM(V47:V50)</f>
        <v>-32624</v>
      </c>
      <c r="Z50" s="20">
        <f>SUM(W47:W50)</f>
        <v>-5115.62</v>
      </c>
      <c r="AA50" s="20">
        <f>SUM(X47:X50)</f>
        <v>-11409</v>
      </c>
    </row>
    <row r="51" ht="20.05" customHeight="1">
      <c r="P51" s="33"/>
      <c r="Q51" s="34">
        <v>-315.2</v>
      </c>
      <c r="R51" s="35">
        <v>-780.7</v>
      </c>
      <c r="S51" s="35">
        <v>-209.5</v>
      </c>
      <c r="T51" s="35">
        <v>-1472</v>
      </c>
      <c r="U51" s="35">
        <v>-1683</v>
      </c>
      <c r="V51" s="35">
        <v>-10002</v>
      </c>
      <c r="W51" s="35">
        <f>Q51+R51+S51</f>
        <v>-1305.4</v>
      </c>
      <c r="X51" s="35">
        <f>SUM(T51:U51)</f>
        <v>-3155</v>
      </c>
      <c r="Y51" s="35">
        <f>SUM(V48:V51)</f>
        <v>-36419</v>
      </c>
      <c r="Z51" s="20">
        <f>SUM(W48:W51)</f>
        <v>-5754.93</v>
      </c>
      <c r="AA51" s="20">
        <f>SUM(X48:X51)</f>
        <v>-11518</v>
      </c>
    </row>
    <row r="52" ht="20.05" customHeight="1">
      <c r="P52" s="33"/>
      <c r="Q52" s="34">
        <v>-309.3</v>
      </c>
      <c r="R52" s="35">
        <v>-1041.2</v>
      </c>
      <c r="S52" s="35">
        <v>-271.18</v>
      </c>
      <c r="T52" s="35">
        <v>-1541</v>
      </c>
      <c r="U52" s="35">
        <v>-2547</v>
      </c>
      <c r="V52" s="35">
        <v>-10888</v>
      </c>
      <c r="W52" s="35">
        <f>Q52+R52+S52</f>
        <v>-1621.68</v>
      </c>
      <c r="X52" s="35">
        <f>SUM(T52:U52)</f>
        <v>-4088</v>
      </c>
      <c r="Y52" s="35">
        <f>SUM(V49:V52)</f>
        <v>-35090</v>
      </c>
      <c r="Z52" s="20">
        <f>SUM(W49:W52)</f>
        <v>-6423.08</v>
      </c>
      <c r="AA52" s="20">
        <f>SUM(X49:X52)</f>
        <v>-11655</v>
      </c>
    </row>
    <row r="53" ht="20.05" customHeight="1">
      <c r="P53" s="36">
        <v>2019</v>
      </c>
      <c r="Q53" s="34">
        <v>-365</v>
      </c>
      <c r="R53" s="35">
        <v>-1004.7</v>
      </c>
      <c r="S53" s="35">
        <v>-105.39</v>
      </c>
      <c r="T53" s="35">
        <v>-2220</v>
      </c>
      <c r="U53" s="35">
        <v>-2464</v>
      </c>
      <c r="V53" s="35">
        <v>-6208</v>
      </c>
      <c r="W53" s="35">
        <f>Q53+R53+S53</f>
        <v>-1475.09</v>
      </c>
      <c r="X53" s="35">
        <f>SUM(T53:U53)</f>
        <v>-4684</v>
      </c>
      <c r="Y53" s="35">
        <f>SUM(V50:V53)</f>
        <v>-34898</v>
      </c>
      <c r="Z53" s="20">
        <f>SUM(W50:W53)</f>
        <v>-6782.67</v>
      </c>
      <c r="AA53" s="20">
        <f>SUM(X50:X53)</f>
        <v>-13970</v>
      </c>
    </row>
    <row r="54" ht="20.05" customHeight="1">
      <c r="P54" s="33"/>
      <c r="Q54" s="34">
        <v>-319</v>
      </c>
      <c r="R54" s="35">
        <v>-919.2</v>
      </c>
      <c r="S54" s="35">
        <v>-243.51</v>
      </c>
      <c r="T54" s="35">
        <v>-1980</v>
      </c>
      <c r="U54" s="35">
        <v>-2109</v>
      </c>
      <c r="V54" s="35">
        <v>-10132</v>
      </c>
      <c r="W54" s="35">
        <f>Q54+R54+S54</f>
        <v>-1481.71</v>
      </c>
      <c r="X54" s="35">
        <f>SUM(T54:U54)</f>
        <v>-4089</v>
      </c>
      <c r="Y54" s="35">
        <f>SUM(V51:V54)</f>
        <v>-37230</v>
      </c>
      <c r="Z54" s="20">
        <f>SUM(W51:W54)</f>
        <v>-5883.88</v>
      </c>
      <c r="AA54" s="20">
        <f>SUM(X51:X54)</f>
        <v>-16016</v>
      </c>
    </row>
    <row r="55" ht="20.05" customHeight="1">
      <c r="P55" s="33"/>
      <c r="Q55" s="34">
        <v>-406</v>
      </c>
      <c r="R55" s="35">
        <v>-514.5</v>
      </c>
      <c r="S55" s="35">
        <v>-139.37</v>
      </c>
      <c r="T55" s="35">
        <v>-2625</v>
      </c>
      <c r="U55" s="35">
        <v>-1850</v>
      </c>
      <c r="V55" s="35">
        <v>-5793</v>
      </c>
      <c r="W55" s="35">
        <f>Q55+R55+S55</f>
        <v>-1059.87</v>
      </c>
      <c r="X55" s="35">
        <f>SUM(T55:U55)</f>
        <v>-4475</v>
      </c>
      <c r="Y55" s="35">
        <f>SUM(V52:V55)</f>
        <v>-33021</v>
      </c>
      <c r="Z55" s="20">
        <f>SUM(W52:W55)</f>
        <v>-5638.35</v>
      </c>
      <c r="AA55" s="20">
        <f>SUM(X52:X55)</f>
        <v>-17336</v>
      </c>
    </row>
    <row r="56" ht="20.05" customHeight="1">
      <c r="P56" s="33"/>
      <c r="Q56" s="34">
        <v>-659</v>
      </c>
      <c r="R56" s="35">
        <v>-3091</v>
      </c>
      <c r="S56" s="35">
        <v>-171.87</v>
      </c>
      <c r="T56" s="35">
        <v>-2058</v>
      </c>
      <c r="U56" s="35">
        <v>-2269</v>
      </c>
      <c r="V56" s="35">
        <v>-13658</v>
      </c>
      <c r="W56" s="35">
        <f>Q56+R56+S56</f>
        <v>-3921.87</v>
      </c>
      <c r="X56" s="35">
        <f>SUM(T56:U56)</f>
        <v>-4327</v>
      </c>
      <c r="Y56" s="35">
        <f>SUM(V53:V56)</f>
        <v>-35791</v>
      </c>
      <c r="Z56" s="20">
        <f>SUM(W53:W56)</f>
        <v>-7938.54</v>
      </c>
      <c r="AA56" s="20">
        <f>SUM(X53:X56)</f>
        <v>-17575</v>
      </c>
    </row>
    <row r="57" ht="20.05" customHeight="1">
      <c r="P57" s="36">
        <v>2020</v>
      </c>
      <c r="Q57" s="34">
        <v>-329.2</v>
      </c>
      <c r="R57" s="35">
        <v>-2740</v>
      </c>
      <c r="S57" s="35">
        <v>-93.73999999999999</v>
      </c>
      <c r="T57" s="35">
        <v>-1548</v>
      </c>
      <c r="U57" s="35">
        <v>-915</v>
      </c>
      <c r="V57" s="35">
        <v>-5089</v>
      </c>
      <c r="W57" s="35">
        <f>Q57+R57+S57</f>
        <v>-3162.94</v>
      </c>
      <c r="X57" s="35">
        <f>SUM(T57:U57)</f>
        <v>-2463</v>
      </c>
      <c r="Y57" s="35">
        <f>SUM(V54:V57)</f>
        <v>-34672</v>
      </c>
      <c r="Z57" s="20">
        <f>SUM(W54:W57)</f>
        <v>-9626.389999999999</v>
      </c>
      <c r="AA57" s="20">
        <f>SUM(X54:X57)</f>
        <v>-15354</v>
      </c>
    </row>
    <row r="58" ht="20.05" customHeight="1">
      <c r="P58" s="33"/>
      <c r="Q58" s="34">
        <v>-396.8</v>
      </c>
      <c r="R58" s="35">
        <v>-1207</v>
      </c>
      <c r="S58" s="35">
        <v>-1815.26</v>
      </c>
      <c r="T58" s="35">
        <v>-872</v>
      </c>
      <c r="U58" s="35">
        <v>-1478</v>
      </c>
      <c r="V58" s="35">
        <v>-10848</v>
      </c>
      <c r="W58" s="35">
        <f>Q58+R58+S58</f>
        <v>-3419.06</v>
      </c>
      <c r="X58" s="35">
        <f>SUM(T58:U58)</f>
        <v>-2350</v>
      </c>
      <c r="Y58" s="35">
        <f>SUM(V55:V58)</f>
        <v>-35388</v>
      </c>
      <c r="Z58" s="20">
        <f>SUM(W55:W58)</f>
        <v>-11563.74</v>
      </c>
      <c r="AA58" s="20">
        <f>SUM(X55:X58)</f>
        <v>-13615</v>
      </c>
    </row>
    <row r="59" ht="20.05" customHeight="1">
      <c r="P59" s="33"/>
      <c r="Q59" s="19"/>
      <c r="R59" s="20"/>
      <c r="S59" s="20"/>
      <c r="T59" s="20"/>
      <c r="U59" s="20"/>
      <c r="V59" s="20"/>
      <c r="W59" s="20"/>
      <c r="X59" s="20"/>
      <c r="Y59" s="20"/>
      <c r="Z59" s="20"/>
      <c r="AA59" s="20"/>
    </row>
  </sheetData>
  <mergeCells count="2">
    <mergeCell ref="B2:O2"/>
    <mergeCell ref="P35:AA35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625" style="42" customWidth="1"/>
    <col min="2" max="2" width="8.78125" style="42" customWidth="1"/>
    <col min="3" max="11" width="9.42188" style="42" customWidth="1"/>
    <col min="12" max="16384" width="16.3516" style="42" customWidth="1"/>
  </cols>
  <sheetData>
    <row r="1" ht="20.35" customHeight="1"/>
    <row r="2" ht="27.65" customHeight="1">
      <c r="B2" t="s" s="2">
        <v>56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8">
        <v>1</v>
      </c>
      <c r="C3" t="s" s="28">
        <v>57</v>
      </c>
      <c r="D3" t="s" s="28">
        <v>58</v>
      </c>
      <c r="E3" t="s" s="28">
        <v>59</v>
      </c>
      <c r="F3" t="s" s="28">
        <v>25</v>
      </c>
      <c r="G3" t="s" s="28">
        <v>12</v>
      </c>
      <c r="H3" t="s" s="28">
        <v>15</v>
      </c>
      <c r="I3" t="s" s="28">
        <v>60</v>
      </c>
      <c r="J3" t="s" s="28">
        <v>28</v>
      </c>
      <c r="K3" t="s" s="28">
        <v>36</v>
      </c>
    </row>
    <row r="4" ht="21.1" customHeight="1">
      <c r="B4" s="29">
        <v>2015</v>
      </c>
      <c r="C4" s="39">
        <v>20282</v>
      </c>
      <c r="D4" s="40">
        <v>146672</v>
      </c>
      <c r="E4" s="40">
        <f>D4-C4</f>
        <v>126390</v>
      </c>
      <c r="F4" s="40">
        <v>119708</v>
      </c>
      <c r="G4" s="40">
        <v>55750</v>
      </c>
      <c r="H4" s="40">
        <v>90922</v>
      </c>
      <c r="I4" s="40">
        <f>G4+H4-C4-E4</f>
        <v>0</v>
      </c>
      <c r="J4" s="40">
        <f>C4-G4</f>
        <v>-35468</v>
      </c>
      <c r="K4" s="43"/>
    </row>
    <row r="5" ht="21.1" customHeight="1">
      <c r="B5" s="33"/>
      <c r="C5" s="19">
        <v>24286</v>
      </c>
      <c r="D5" s="20">
        <v>154050</v>
      </c>
      <c r="E5" s="20">
        <f>D5-C5</f>
        <v>129764</v>
      </c>
      <c r="F5" s="20">
        <v>122914</v>
      </c>
      <c r="G5" s="20">
        <v>71785</v>
      </c>
      <c r="H5" s="20">
        <v>82265</v>
      </c>
      <c r="I5" s="20">
        <f>G5+H5-C5-E5</f>
        <v>0</v>
      </c>
      <c r="J5" s="20">
        <f>C5-G5</f>
        <v>-47499</v>
      </c>
      <c r="K5" s="26"/>
    </row>
    <row r="6" ht="21.1" customHeight="1">
      <c r="B6" s="33"/>
      <c r="C6" s="19">
        <v>26264</v>
      </c>
      <c r="D6" s="20">
        <v>158394</v>
      </c>
      <c r="E6" s="20">
        <f>D6-C6</f>
        <v>132130</v>
      </c>
      <c r="F6" s="20">
        <v>126408</v>
      </c>
      <c r="G6" s="20">
        <v>71309</v>
      </c>
      <c r="H6" s="20">
        <v>87085</v>
      </c>
      <c r="I6" s="20">
        <f>G6+H6-C6-E6</f>
        <v>0</v>
      </c>
      <c r="J6" s="20">
        <f>C6-G6</f>
        <v>-45045</v>
      </c>
      <c r="K6" s="26"/>
    </row>
    <row r="7" ht="21.1" customHeight="1">
      <c r="B7" s="33"/>
      <c r="C7" s="19">
        <v>28117</v>
      </c>
      <c r="D7" s="20">
        <v>166173</v>
      </c>
      <c r="E7" s="20">
        <f>D7-C7</f>
        <v>138056</v>
      </c>
      <c r="F7" s="20">
        <v>128973</v>
      </c>
      <c r="G7" s="20">
        <v>72745</v>
      </c>
      <c r="H7" s="20">
        <v>93428</v>
      </c>
      <c r="I7" s="20">
        <f>G7+H7-C7-E7</f>
        <v>0</v>
      </c>
      <c r="J7" s="20">
        <f>C7-G7</f>
        <v>-44628</v>
      </c>
      <c r="K7" s="26"/>
    </row>
    <row r="8" ht="21.1" customHeight="1">
      <c r="B8" s="36">
        <v>2016</v>
      </c>
      <c r="C8" s="19">
        <v>35737</v>
      </c>
      <c r="D8" s="20">
        <v>176992</v>
      </c>
      <c r="E8" s="20">
        <f>D8-C8</f>
        <v>141255</v>
      </c>
      <c r="F8" s="20">
        <v>128973</v>
      </c>
      <c r="G8" s="20">
        <v>76698</v>
      </c>
      <c r="H8" s="20">
        <v>100294</v>
      </c>
      <c r="I8" s="20">
        <f>G8+H8-C8-E8</f>
        <v>0</v>
      </c>
      <c r="J8" s="20">
        <f>C8-G8</f>
        <v>-40961</v>
      </c>
      <c r="K8" s="26"/>
    </row>
    <row r="9" ht="20.9" customHeight="1">
      <c r="B9" s="33"/>
      <c r="C9" s="19">
        <v>21431</v>
      </c>
      <c r="D9" s="20">
        <v>171411</v>
      </c>
      <c r="E9" s="20">
        <f>D9-C9</f>
        <v>149980</v>
      </c>
      <c r="F9" s="20">
        <v>135090</v>
      </c>
      <c r="G9" s="20">
        <v>76567</v>
      </c>
      <c r="H9" s="20">
        <v>94844</v>
      </c>
      <c r="I9" s="20">
        <f>G9+H9-C9-E9</f>
        <v>0</v>
      </c>
      <c r="J9" s="20">
        <f>C9-G9</f>
        <v>-55136</v>
      </c>
      <c r="K9" s="26"/>
    </row>
    <row r="10" ht="20.9" customHeight="1">
      <c r="B10" s="33"/>
      <c r="C10" s="19">
        <v>28852</v>
      </c>
      <c r="D10" s="20">
        <v>177462</v>
      </c>
      <c r="E10" s="20">
        <f>D10-C10</f>
        <v>148610</v>
      </c>
      <c r="F10" s="20">
        <v>135789</v>
      </c>
      <c r="G10" s="20">
        <v>75111</v>
      </c>
      <c r="H10" s="20">
        <v>102351</v>
      </c>
      <c r="I10" s="20">
        <f>G10+H10-C10-E10</f>
        <v>0</v>
      </c>
      <c r="J10" s="20">
        <f>C10-G10</f>
        <v>-46259</v>
      </c>
      <c r="K10" s="26"/>
    </row>
    <row r="11" ht="20.9" customHeight="1">
      <c r="B11" s="33"/>
      <c r="C11" s="19">
        <v>29767</v>
      </c>
      <c r="D11" s="20">
        <v>179611</v>
      </c>
      <c r="E11" s="20">
        <f>D11-C11</f>
        <v>149844</v>
      </c>
      <c r="F11" s="20">
        <v>133601</v>
      </c>
      <c r="G11" s="20">
        <v>74067</v>
      </c>
      <c r="H11" s="20">
        <v>105544</v>
      </c>
      <c r="I11" s="20">
        <f>G11+H11-C11-E11</f>
        <v>0</v>
      </c>
      <c r="J11" s="20">
        <f>C11-G11</f>
        <v>-44300</v>
      </c>
      <c r="K11" s="26"/>
    </row>
    <row r="12" ht="20.9" customHeight="1">
      <c r="B12" s="36">
        <v>2017</v>
      </c>
      <c r="C12" s="19">
        <v>33699</v>
      </c>
      <c r="D12" s="20">
        <v>187590</v>
      </c>
      <c r="E12" s="20">
        <f>D12-C12</f>
        <v>153891</v>
      </c>
      <c r="F12" s="20">
        <v>137128</v>
      </c>
      <c r="G12" s="20">
        <v>75133</v>
      </c>
      <c r="H12" s="20">
        <v>112457</v>
      </c>
      <c r="I12" s="20">
        <f>G12+H12-C12-E12</f>
        <v>0</v>
      </c>
      <c r="J12" s="20">
        <f>C12-G12</f>
        <v>-41434</v>
      </c>
      <c r="K12" s="26"/>
    </row>
    <row r="13" ht="20.9" customHeight="1">
      <c r="B13" s="33"/>
      <c r="C13" s="19">
        <v>19068</v>
      </c>
      <c r="D13" s="20">
        <v>177843</v>
      </c>
      <c r="E13" s="20">
        <f>D13-C13</f>
        <v>158775</v>
      </c>
      <c r="F13" s="20">
        <v>140119</v>
      </c>
      <c r="G13" s="20">
        <v>75819</v>
      </c>
      <c r="H13" s="20">
        <v>102024</v>
      </c>
      <c r="I13" s="20">
        <f>G13+H13-C13-E13</f>
        <v>0</v>
      </c>
      <c r="J13" s="20">
        <f>C13-G13</f>
        <v>-56751</v>
      </c>
      <c r="K13" s="26"/>
    </row>
    <row r="14" ht="20.9" customHeight="1">
      <c r="B14" s="33"/>
      <c r="C14" s="19">
        <v>27093</v>
      </c>
      <c r="D14" s="20">
        <v>190508</v>
      </c>
      <c r="E14" s="20">
        <f>D14-C14</f>
        <v>163415</v>
      </c>
      <c r="F14" s="20">
        <v>142977</v>
      </c>
      <c r="G14" s="20">
        <v>79937</v>
      </c>
      <c r="H14" s="20">
        <v>110571</v>
      </c>
      <c r="I14" s="20">
        <f>G14+H14-C14-E14</f>
        <v>0</v>
      </c>
      <c r="J14" s="20">
        <f>C14-G14</f>
        <v>-52844</v>
      </c>
      <c r="K14" s="26"/>
    </row>
    <row r="15" ht="20.9" customHeight="1">
      <c r="B15" s="33"/>
      <c r="C15" s="19">
        <v>25145</v>
      </c>
      <c r="D15" s="20">
        <v>198484</v>
      </c>
      <c r="E15" s="20">
        <f>D15-C15</f>
        <v>173339</v>
      </c>
      <c r="F15" s="20">
        <v>137080</v>
      </c>
      <c r="G15" s="20">
        <v>86354</v>
      </c>
      <c r="H15" s="20">
        <v>112130</v>
      </c>
      <c r="I15" s="20">
        <f>G15+H15-C15-E15</f>
        <v>0</v>
      </c>
      <c r="J15" s="20">
        <f>C15-G15</f>
        <v>-61209</v>
      </c>
      <c r="K15" s="26"/>
    </row>
    <row r="16" ht="20.9" customHeight="1">
      <c r="B16" s="36">
        <v>2018</v>
      </c>
      <c r="C16" s="19">
        <v>28968</v>
      </c>
      <c r="D16" s="20">
        <v>206600</v>
      </c>
      <c r="E16" s="20">
        <f>D16-C16</f>
        <v>177632</v>
      </c>
      <c r="F16" s="20">
        <v>138564</v>
      </c>
      <c r="G16" s="20">
        <v>86459</v>
      </c>
      <c r="H16" s="20">
        <v>120141</v>
      </c>
      <c r="I16" s="20">
        <f>G16+H16-C16-E16</f>
        <v>0</v>
      </c>
      <c r="J16" s="20">
        <f>C16-G16</f>
        <v>-57491</v>
      </c>
      <c r="K16" s="26"/>
    </row>
    <row r="17" ht="20.9" customHeight="1">
      <c r="B17" s="33"/>
      <c r="C17" s="19">
        <v>16826</v>
      </c>
      <c r="D17" s="20">
        <v>201960</v>
      </c>
      <c r="E17" s="20">
        <f>D17-C17</f>
        <v>185134</v>
      </c>
      <c r="F17" s="20">
        <v>138538</v>
      </c>
      <c r="G17" s="20">
        <v>103643</v>
      </c>
      <c r="H17" s="20">
        <v>98317</v>
      </c>
      <c r="I17" s="20">
        <f>G17+H17-C17-E17</f>
        <v>0</v>
      </c>
      <c r="J17" s="20">
        <f>C17-G17</f>
        <v>-86817</v>
      </c>
      <c r="K17" s="26"/>
    </row>
    <row r="18" ht="20.9" customHeight="1">
      <c r="B18" s="33"/>
      <c r="C18" s="19">
        <v>13666</v>
      </c>
      <c r="D18" s="20">
        <v>204893</v>
      </c>
      <c r="E18" s="20">
        <f>D18-C18</f>
        <v>191227</v>
      </c>
      <c r="F18" s="20">
        <v>142832</v>
      </c>
      <c r="G18" s="20">
        <v>98606</v>
      </c>
      <c r="H18" s="20">
        <v>106287</v>
      </c>
      <c r="I18" s="20">
        <f>G18+H18-C18-E18</f>
        <v>0</v>
      </c>
      <c r="J18" s="20">
        <f>C18-G18</f>
        <v>-84940</v>
      </c>
      <c r="K18" s="26"/>
    </row>
    <row r="19" ht="20.9" customHeight="1">
      <c r="B19" s="33"/>
      <c r="C19" s="19">
        <v>17439</v>
      </c>
      <c r="D19" s="20">
        <v>206196</v>
      </c>
      <c r="E19" s="20">
        <f>D19-C19</f>
        <v>188757</v>
      </c>
      <c r="F19" s="20">
        <f>137196+7495</f>
        <v>144691</v>
      </c>
      <c r="G19" s="20">
        <v>88893</v>
      </c>
      <c r="H19" s="20">
        <v>117303</v>
      </c>
      <c r="I19" s="20">
        <f>G19+H19-C19-E19</f>
        <v>0</v>
      </c>
      <c r="J19" s="20">
        <f>C19-G19</f>
        <v>-71454</v>
      </c>
      <c r="K19" s="26"/>
    </row>
    <row r="20" ht="20.9" customHeight="1">
      <c r="B20" s="36">
        <v>2019</v>
      </c>
      <c r="C20" s="19">
        <v>23380</v>
      </c>
      <c r="D20" s="20">
        <v>219111</v>
      </c>
      <c r="E20" s="20">
        <f>D20-C20</f>
        <v>195731</v>
      </c>
      <c r="F20" s="20">
        <v>140448</v>
      </c>
      <c r="G20" s="20">
        <v>93193</v>
      </c>
      <c r="H20" s="20">
        <v>125918</v>
      </c>
      <c r="I20" s="20">
        <f>G20+H20-C20-E20</f>
        <v>0</v>
      </c>
      <c r="J20" s="20">
        <f>C20-G20</f>
        <v>-69813</v>
      </c>
      <c r="K20" s="26"/>
    </row>
    <row r="21" ht="20.9" customHeight="1">
      <c r="B21" s="33"/>
      <c r="C21" s="19">
        <v>17075</v>
      </c>
      <c r="D21" s="20">
        <v>215699</v>
      </c>
      <c r="E21" s="20">
        <f>D21-C21</f>
        <v>198624</v>
      </c>
      <c r="F21" s="20">
        <v>143995</v>
      </c>
      <c r="G21" s="20">
        <v>107354</v>
      </c>
      <c r="H21" s="20">
        <v>108345</v>
      </c>
      <c r="I21" s="20">
        <f>G21+H21-C21-E21</f>
        <v>0</v>
      </c>
      <c r="J21" s="20">
        <f>C21-G21</f>
        <v>-90279</v>
      </c>
      <c r="K21" s="26"/>
    </row>
    <row r="22" ht="20.9" customHeight="1">
      <c r="B22" s="33"/>
      <c r="C22" s="19">
        <v>15017</v>
      </c>
      <c r="D22" s="20">
        <v>214990</v>
      </c>
      <c r="E22" s="20">
        <f>D22-C22</f>
        <v>199973</v>
      </c>
      <c r="F22" s="20">
        <v>149072</v>
      </c>
      <c r="G22" s="20">
        <v>98544</v>
      </c>
      <c r="H22" s="20">
        <v>116446</v>
      </c>
      <c r="I22" s="20">
        <f>G22+H22-C22-E22</f>
        <v>0</v>
      </c>
      <c r="J22" s="20">
        <f>C22-G22</f>
        <v>-83527</v>
      </c>
      <c r="K22" s="20"/>
    </row>
    <row r="23" ht="20.9" customHeight="1">
      <c r="B23" s="33"/>
      <c r="C23" s="19">
        <v>18242</v>
      </c>
      <c r="D23" s="20">
        <v>221208</v>
      </c>
      <c r="E23" s="20">
        <f>D23-C23</f>
        <v>202966</v>
      </c>
      <c r="F23" s="20">
        <f>152029+9133</f>
        <v>161162</v>
      </c>
      <c r="G23" s="20">
        <v>103958</v>
      </c>
      <c r="H23" s="20">
        <v>117250</v>
      </c>
      <c r="I23" s="20">
        <f>G23+H23-C23-E23</f>
        <v>0</v>
      </c>
      <c r="J23" s="20">
        <f>C23-G23</f>
        <v>-85716</v>
      </c>
      <c r="K23" s="20"/>
    </row>
    <row r="24" ht="20.9" customHeight="1">
      <c r="B24" s="36">
        <v>2020</v>
      </c>
      <c r="C24" s="19">
        <v>24365</v>
      </c>
      <c r="D24" s="20">
        <v>241914</v>
      </c>
      <c r="E24" s="20">
        <f>D24-C24</f>
        <v>217549</v>
      </c>
      <c r="F24" s="20">
        <f>9576+150761+1158</f>
        <v>161495</v>
      </c>
      <c r="G24" s="20">
        <v>115367</v>
      </c>
      <c r="H24" s="20">
        <v>126547</v>
      </c>
      <c r="I24" s="20">
        <f>G24+H24-C24-E24</f>
        <v>0</v>
      </c>
      <c r="J24" s="20">
        <f>C24-G24</f>
        <v>-91002</v>
      </c>
      <c r="K24" s="20"/>
    </row>
    <row r="25" ht="20.9" customHeight="1">
      <c r="B25" s="33"/>
      <c r="C25" s="19">
        <v>28238</v>
      </c>
      <c r="D25" s="20">
        <v>246351</v>
      </c>
      <c r="E25" s="20">
        <f>D25-C25</f>
        <v>218113</v>
      </c>
      <c r="F25" s="20">
        <f>155804+9978</f>
        <v>165782</v>
      </c>
      <c r="G25" s="20">
        <v>136066</v>
      </c>
      <c r="H25" s="20">
        <v>110285</v>
      </c>
      <c r="I25" s="20">
        <f>G25+H25-C25-E25</f>
        <v>0</v>
      </c>
      <c r="J25" s="20">
        <f>C25-G25</f>
        <v>-107828</v>
      </c>
      <c r="K25" s="20"/>
    </row>
    <row r="26" ht="20.9" customHeight="1">
      <c r="B26" s="33"/>
      <c r="C26" s="19">
        <v>17420</v>
      </c>
      <c r="D26" s="20">
        <v>233219</v>
      </c>
      <c r="E26" s="20">
        <f>D26-C26</f>
        <v>215799</v>
      </c>
      <c r="F26" s="20">
        <f>10434+3021+159406</f>
        <v>172861</v>
      </c>
      <c r="G26" s="20">
        <v>115330</v>
      </c>
      <c r="H26" s="20">
        <v>117889</v>
      </c>
      <c r="I26" s="20">
        <f>G26+H26-C26-E26</f>
        <v>0</v>
      </c>
      <c r="J26" s="20">
        <f>C26-G26</f>
        <v>-97910</v>
      </c>
      <c r="K26" s="20"/>
    </row>
    <row r="27" ht="20.9" customHeight="1">
      <c r="B27" s="33"/>
      <c r="C27" s="19">
        <v>20589</v>
      </c>
      <c r="D27" s="20">
        <v>246943</v>
      </c>
      <c r="E27" s="20">
        <f>D27-C27</f>
        <v>226354</v>
      </c>
      <c r="F27" s="20">
        <f>159789+4449+10838</f>
        <v>175076</v>
      </c>
      <c r="G27" s="20">
        <v>126054</v>
      </c>
      <c r="H27" s="20">
        <v>120889</v>
      </c>
      <c r="I27" s="20">
        <f>G27+H27-C27-E27</f>
        <v>0</v>
      </c>
      <c r="J27" s="20">
        <f>C27-G27</f>
        <v>-105465</v>
      </c>
      <c r="K27" s="20"/>
    </row>
    <row r="28" ht="20.9" customHeight="1">
      <c r="B28" s="36">
        <v>2021</v>
      </c>
      <c r="C28" s="19">
        <v>31729</v>
      </c>
      <c r="D28" s="20">
        <v>257848</v>
      </c>
      <c r="E28" s="20">
        <f>D28-C28</f>
        <v>226119</v>
      </c>
      <c r="F28" s="20">
        <f>163546+5443+11260</f>
        <v>180249</v>
      </c>
      <c r="G28" s="20">
        <v>129950</v>
      </c>
      <c r="H28" s="20">
        <v>127898</v>
      </c>
      <c r="I28" s="20">
        <f>G28+H28-C28-E28</f>
        <v>0</v>
      </c>
      <c r="J28" s="20">
        <f>C28-G28</f>
        <v>-98221</v>
      </c>
      <c r="K28" s="20"/>
    </row>
    <row r="29" ht="20.9" customHeight="1">
      <c r="B29" s="33"/>
      <c r="C29" s="19">
        <v>36613</v>
      </c>
      <c r="D29" s="20">
        <v>263977</v>
      </c>
      <c r="E29" s="20">
        <f>D29-C29</f>
        <v>227364</v>
      </c>
      <c r="F29" s="20">
        <f>11734+166582+6418</f>
        <v>184734</v>
      </c>
      <c r="G29" s="20">
        <v>153870</v>
      </c>
      <c r="H29" s="20">
        <v>110107</v>
      </c>
      <c r="I29" s="20">
        <f>G29+H29-C29-E29</f>
        <v>0</v>
      </c>
      <c r="J29" s="20">
        <f>C29-G29</f>
        <v>-117257</v>
      </c>
      <c r="K29" s="20"/>
    </row>
    <row r="30" ht="20.9" customHeight="1">
      <c r="B30" s="33"/>
      <c r="C30" s="19">
        <v>17491</v>
      </c>
      <c r="D30" s="20">
        <v>246500</v>
      </c>
      <c r="E30" s="20">
        <f>D30-C30</f>
        <v>229009</v>
      </c>
      <c r="F30" s="20">
        <f>12242+7504+168975</f>
        <v>188721</v>
      </c>
      <c r="G30" s="20">
        <v>127687</v>
      </c>
      <c r="H30" s="20">
        <v>118813</v>
      </c>
      <c r="I30" s="20">
        <f>G30+H30-C30-E30</f>
        <v>0</v>
      </c>
      <c r="J30" s="20">
        <f>C30-G30</f>
        <v>-110196</v>
      </c>
      <c r="K30" s="20"/>
    </row>
    <row r="31" ht="20.9" customHeight="1">
      <c r="B31" s="33"/>
      <c r="C31" s="19">
        <v>38311</v>
      </c>
      <c r="D31" s="20">
        <v>277184</v>
      </c>
      <c r="E31" s="20">
        <f>D31-C31</f>
        <v>238873</v>
      </c>
      <c r="F31" s="20">
        <f>402+8332+175483</f>
        <v>184217</v>
      </c>
      <c r="G31" s="20">
        <v>131785</v>
      </c>
      <c r="H31" s="20">
        <v>145399</v>
      </c>
      <c r="I31" s="20">
        <f>G31+H31-C31-E31</f>
        <v>0</v>
      </c>
      <c r="J31" s="20">
        <f>C31-G31</f>
        <v>-93474</v>
      </c>
      <c r="K31" s="20"/>
    </row>
    <row r="32" ht="20.9" customHeight="1">
      <c r="B32" s="36">
        <v>2022</v>
      </c>
      <c r="C32" s="19">
        <v>41629</v>
      </c>
      <c r="D32" s="20">
        <v>279450</v>
      </c>
      <c r="E32" s="20">
        <f>D32-C32</f>
        <v>237821</v>
      </c>
      <c r="F32" s="20">
        <f>181169+9121+13639</f>
        <v>203929</v>
      </c>
      <c r="G32" s="20">
        <v>126120</v>
      </c>
      <c r="H32" s="20">
        <v>153330</v>
      </c>
      <c r="I32" s="20">
        <f>G32+H32-C32-E32</f>
        <v>0</v>
      </c>
      <c r="J32" s="20">
        <f>C32-G32</f>
        <v>-84491</v>
      </c>
      <c r="K32" s="20">
        <v>-72651.9341080521</v>
      </c>
    </row>
    <row r="33" ht="20.9" customHeight="1">
      <c r="B33" s="33"/>
      <c r="C33" s="19"/>
      <c r="D33" s="20"/>
      <c r="E33" s="20"/>
      <c r="F33" s="20"/>
      <c r="G33" s="20"/>
      <c r="H33" s="20"/>
      <c r="I33" s="20"/>
      <c r="J33" s="20"/>
      <c r="K33" s="20">
        <f>'Model'!F32</f>
        <v>-63511.4860069972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37"/>
  <sheetViews>
    <sheetView workbookViewId="0" showGridLines="0" defaultGridColor="1"/>
  </sheetViews>
  <sheetFormatPr defaultColWidth="8.33333" defaultRowHeight="19.9" customHeight="1" outlineLevelRow="0" outlineLevelCol="0"/>
  <cols>
    <col min="1" max="1" width="7.86719" style="44" customWidth="1"/>
    <col min="2" max="4" width="9.625" style="44" customWidth="1"/>
    <col min="5" max="16384" width="8.35156" style="44" customWidth="1"/>
  </cols>
  <sheetData>
    <row r="1" ht="27.65" customHeight="1">
      <c r="A1" t="s" s="2">
        <v>61</v>
      </c>
      <c r="B1" s="2"/>
      <c r="C1" s="2"/>
      <c r="D1" s="2"/>
    </row>
    <row r="2" ht="32.25" customHeight="1">
      <c r="A2" t="s" s="45">
        <v>62</v>
      </c>
      <c r="B2" t="s" s="45">
        <v>55</v>
      </c>
      <c r="C2" t="s" s="46">
        <v>63</v>
      </c>
      <c r="D2" t="s" s="28">
        <v>64</v>
      </c>
    </row>
    <row r="3" ht="20.25" customHeight="1">
      <c r="A3" s="47">
        <v>2014</v>
      </c>
      <c r="B3" s="48">
        <v>2215</v>
      </c>
      <c r="C3" s="49"/>
      <c r="D3" s="49"/>
    </row>
    <row r="4" ht="20.05" customHeight="1">
      <c r="A4" s="50"/>
      <c r="B4" s="51">
        <v>2465</v>
      </c>
      <c r="C4" s="52"/>
      <c r="D4" s="52"/>
    </row>
    <row r="5" ht="20.05" customHeight="1">
      <c r="A5" s="50"/>
      <c r="B5" s="51">
        <v>2915</v>
      </c>
      <c r="C5" s="52"/>
      <c r="D5" s="52"/>
    </row>
    <row r="6" ht="20.05" customHeight="1">
      <c r="A6" s="50"/>
      <c r="B6" s="51">
        <v>2865</v>
      </c>
      <c r="C6" s="52"/>
      <c r="D6" s="52"/>
    </row>
    <row r="7" ht="20.05" customHeight="1">
      <c r="A7" s="53">
        <v>2015</v>
      </c>
      <c r="B7" s="51">
        <v>2890</v>
      </c>
      <c r="C7" s="52"/>
      <c r="D7" s="52"/>
    </row>
    <row r="8" ht="20.05" customHeight="1">
      <c r="A8" s="50"/>
      <c r="B8" s="51">
        <v>2930</v>
      </c>
      <c r="C8" s="52"/>
      <c r="D8" s="52"/>
    </row>
    <row r="9" ht="20.05" customHeight="1">
      <c r="A9" s="50"/>
      <c r="B9" s="51">
        <v>2645</v>
      </c>
      <c r="C9" s="52"/>
      <c r="D9" s="52"/>
    </row>
    <row r="10" ht="20.05" customHeight="1">
      <c r="A10" s="50"/>
      <c r="B10" s="51">
        <v>3105</v>
      </c>
      <c r="C10" s="52"/>
      <c r="D10" s="52"/>
    </row>
    <row r="11" ht="20.05" customHeight="1">
      <c r="A11" s="53">
        <v>2016</v>
      </c>
      <c r="B11" s="51">
        <v>3310</v>
      </c>
      <c r="C11" s="52"/>
      <c r="D11" s="52"/>
    </row>
    <row r="12" ht="20.05" customHeight="1">
      <c r="A12" s="50"/>
      <c r="B12" s="51">
        <v>3980</v>
      </c>
      <c r="C12" s="52"/>
      <c r="D12" s="52"/>
    </row>
    <row r="13" ht="20.05" customHeight="1">
      <c r="A13" s="50"/>
      <c r="B13" s="51">
        <v>4310</v>
      </c>
      <c r="C13" s="52"/>
      <c r="D13" s="52"/>
    </row>
    <row r="14" ht="20.05" customHeight="1">
      <c r="A14" s="50"/>
      <c r="B14" s="51">
        <v>3980</v>
      </c>
      <c r="C14" s="52"/>
      <c r="D14" s="52"/>
    </row>
    <row r="15" ht="20.05" customHeight="1">
      <c r="A15" s="53">
        <v>2017</v>
      </c>
      <c r="B15" s="51">
        <v>4130</v>
      </c>
      <c r="C15" s="52"/>
      <c r="D15" s="52"/>
    </row>
    <row r="16" ht="20.05" customHeight="1">
      <c r="A16" s="50"/>
      <c r="B16" s="51">
        <v>4520</v>
      </c>
      <c r="C16" s="52"/>
      <c r="D16" s="52"/>
    </row>
    <row r="17" ht="20.05" customHeight="1">
      <c r="A17" s="50"/>
      <c r="B17" s="51">
        <v>4680</v>
      </c>
      <c r="C17" s="52"/>
      <c r="D17" s="52"/>
    </row>
    <row r="18" ht="20.05" customHeight="1">
      <c r="A18" s="50"/>
      <c r="B18" s="51">
        <v>4440</v>
      </c>
      <c r="C18" s="52"/>
      <c r="D18" s="52"/>
    </row>
    <row r="19" ht="20.05" customHeight="1">
      <c r="A19" s="53">
        <v>2018</v>
      </c>
      <c r="B19" s="51">
        <v>3600</v>
      </c>
      <c r="C19" s="52"/>
      <c r="D19" s="52"/>
    </row>
    <row r="20" ht="20.05" customHeight="1">
      <c r="A20" s="50"/>
      <c r="B20" s="51">
        <v>3750</v>
      </c>
      <c r="C20" s="52"/>
      <c r="D20" s="52"/>
    </row>
    <row r="21" ht="20.05" customHeight="1">
      <c r="A21" s="50"/>
      <c r="B21" s="51">
        <v>3640</v>
      </c>
      <c r="C21" s="52"/>
      <c r="D21" s="52"/>
    </row>
    <row r="22" ht="20.05" customHeight="1">
      <c r="A22" s="50"/>
      <c r="B22" s="51">
        <v>3750</v>
      </c>
      <c r="C22" s="52"/>
      <c r="D22" s="52"/>
    </row>
    <row r="23" ht="20.05" customHeight="1">
      <c r="A23" s="53">
        <v>2019</v>
      </c>
      <c r="B23" s="51">
        <v>3950</v>
      </c>
      <c r="C23" s="52"/>
      <c r="D23" s="52"/>
    </row>
    <row r="24" ht="20.05" customHeight="1">
      <c r="A24" s="50"/>
      <c r="B24" s="51">
        <v>4140</v>
      </c>
      <c r="C24" s="52"/>
      <c r="D24" s="52"/>
    </row>
    <row r="25" ht="20.05" customHeight="1">
      <c r="A25" s="50"/>
      <c r="B25" s="51">
        <v>4310</v>
      </c>
      <c r="C25" s="52"/>
      <c r="D25" s="52"/>
    </row>
    <row r="26" ht="20.05" customHeight="1">
      <c r="A26" s="50"/>
      <c r="B26" s="51">
        <v>3970</v>
      </c>
      <c r="C26" s="52"/>
      <c r="D26" s="52"/>
    </row>
    <row r="27" ht="20.05" customHeight="1">
      <c r="A27" s="53">
        <v>2020</v>
      </c>
      <c r="B27" s="51">
        <v>3160</v>
      </c>
      <c r="C27" s="52"/>
      <c r="D27" s="52"/>
    </row>
    <row r="28" ht="20.05" customHeight="1">
      <c r="A28" s="50"/>
      <c r="B28" s="51">
        <v>3050</v>
      </c>
      <c r="C28" s="54"/>
      <c r="D28" s="54"/>
    </row>
    <row r="29" ht="20.05" customHeight="1">
      <c r="A29" s="50"/>
      <c r="B29" s="51">
        <v>2560</v>
      </c>
      <c r="C29" s="54"/>
      <c r="D29" s="54"/>
    </row>
    <row r="30" ht="20.05" customHeight="1">
      <c r="A30" s="50"/>
      <c r="B30" s="51">
        <v>3310</v>
      </c>
      <c r="C30" s="54"/>
      <c r="D30" s="54"/>
    </row>
    <row r="31" ht="20.05" customHeight="1">
      <c r="A31" s="53">
        <v>2021</v>
      </c>
      <c r="B31" s="51">
        <v>3255.830322</v>
      </c>
      <c r="C31" s="54"/>
      <c r="D31" s="54"/>
    </row>
    <row r="32" ht="20.05" customHeight="1">
      <c r="A32" s="50"/>
      <c r="B32" s="51">
        <v>3150</v>
      </c>
      <c r="C32" s="54"/>
      <c r="D32" s="54"/>
    </row>
    <row r="33" ht="20.05" customHeight="1">
      <c r="A33" s="50"/>
      <c r="B33" s="51">
        <v>3690</v>
      </c>
      <c r="C33" s="54"/>
      <c r="D33" s="54"/>
    </row>
    <row r="34" ht="20.05" customHeight="1">
      <c r="A34" s="50"/>
      <c r="B34" s="51">
        <v>4040</v>
      </c>
      <c r="C34" s="54"/>
      <c r="D34" s="54"/>
    </row>
    <row r="35" ht="20.05" customHeight="1">
      <c r="A35" s="53">
        <v>2022</v>
      </c>
      <c r="B35" s="51">
        <v>4580</v>
      </c>
      <c r="C35" s="55">
        <v>6430.9023318398</v>
      </c>
      <c r="D35" s="54"/>
    </row>
    <row r="36" ht="20.05" customHeight="1">
      <c r="A36" s="50"/>
      <c r="B36" s="51">
        <v>4340</v>
      </c>
      <c r="C36" s="55">
        <v>6181.184856973290</v>
      </c>
      <c r="D36" s="54"/>
    </row>
    <row r="37" ht="20.05" customHeight="1">
      <c r="A37" s="50"/>
      <c r="B37" s="51"/>
      <c r="C37" s="55">
        <f>'Model'!F45</f>
        <v>6085.704562507170</v>
      </c>
      <c r="D37" s="54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0.1016" style="56" customWidth="1"/>
    <col min="11" max="16384" width="16.3516" style="56" customWidth="1"/>
  </cols>
  <sheetData>
    <row r="1" ht="27.65" customHeight="1">
      <c r="A1" t="s" s="2">
        <v>30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s="38"/>
      <c r="B2" t="s" s="28">
        <v>12</v>
      </c>
      <c r="C2" t="s" s="28">
        <v>15</v>
      </c>
      <c r="D2" t="s" s="28">
        <v>65</v>
      </c>
      <c r="E2" t="s" s="28">
        <v>12</v>
      </c>
      <c r="F2" t="s" s="28">
        <v>15</v>
      </c>
      <c r="G2" t="s" s="28">
        <v>65</v>
      </c>
      <c r="H2" s="4"/>
      <c r="I2" s="4"/>
      <c r="J2" s="4"/>
    </row>
    <row r="3" ht="20.25" customHeight="1">
      <c r="A3" s="29">
        <v>2006</v>
      </c>
      <c r="B3" s="39">
        <v>1008.1</v>
      </c>
      <c r="C3" s="40">
        <v>-8390.9</v>
      </c>
      <c r="D3" s="40">
        <f>B3+C3</f>
        <v>-7382.8</v>
      </c>
      <c r="E3" s="40">
        <f>B3</f>
        <v>1008.1</v>
      </c>
      <c r="F3" s="40">
        <f>C3</f>
        <v>-8390.9</v>
      </c>
      <c r="G3" s="40">
        <f>D3</f>
        <v>-7382.8</v>
      </c>
      <c r="H3" s="8"/>
      <c r="I3" s="8"/>
      <c r="J3" s="8"/>
    </row>
    <row r="4" ht="20.05" customHeight="1">
      <c r="A4" s="36">
        <f>1+$A3</f>
        <v>2007</v>
      </c>
      <c r="B4" s="19">
        <v>7.9</v>
      </c>
      <c r="C4" s="20">
        <v>-10964.9</v>
      </c>
      <c r="D4" s="20">
        <f>B4+C4</f>
        <v>-10957</v>
      </c>
      <c r="E4" s="20">
        <f>B4+E3</f>
        <v>1016</v>
      </c>
      <c r="F4" s="20">
        <f>C4+F3</f>
        <v>-19355.8</v>
      </c>
      <c r="G4" s="20">
        <f>D4+G3</f>
        <v>-18339.8</v>
      </c>
      <c r="H4" s="23"/>
      <c r="I4" s="23"/>
      <c r="J4" s="23"/>
    </row>
    <row r="5" ht="20.05" customHeight="1">
      <c r="A5" s="36">
        <f>1+$A4</f>
        <v>2008</v>
      </c>
      <c r="B5" s="19">
        <v>2267.4</v>
      </c>
      <c r="C5" s="20">
        <v>-13853.4</v>
      </c>
      <c r="D5" s="20">
        <f>B5+C5</f>
        <v>-11586</v>
      </c>
      <c r="E5" s="20">
        <f>B5+E4</f>
        <v>3283.4</v>
      </c>
      <c r="F5" s="20">
        <f>C5+F4</f>
        <v>-33209.2</v>
      </c>
      <c r="G5" s="20">
        <f>D5+G4</f>
        <v>-29925.8</v>
      </c>
      <c r="H5" s="23"/>
      <c r="I5" s="23"/>
      <c r="J5" s="23"/>
    </row>
    <row r="6" ht="20.05" customHeight="1">
      <c r="A6" s="36">
        <f>1+$A5</f>
        <v>2009</v>
      </c>
      <c r="B6" s="19">
        <v>2447</v>
      </c>
      <c r="C6" s="20">
        <v>-9195.9</v>
      </c>
      <c r="D6" s="20">
        <f>B6+C6</f>
        <v>-6748.9</v>
      </c>
      <c r="E6" s="20">
        <f>B6+E5</f>
        <v>5730.4</v>
      </c>
      <c r="F6" s="20">
        <f>C6+F5</f>
        <v>-42405.1</v>
      </c>
      <c r="G6" s="20">
        <f>D6+G5</f>
        <v>-36674.7</v>
      </c>
      <c r="H6" s="23"/>
      <c r="I6" s="23"/>
      <c r="J6" s="23"/>
    </row>
    <row r="7" ht="20.05" customHeight="1">
      <c r="A7" s="36">
        <f>1+$A6</f>
        <v>2010</v>
      </c>
      <c r="B7" s="19">
        <v>-777.6</v>
      </c>
      <c r="C7" s="20">
        <v>-9042</v>
      </c>
      <c r="D7" s="20">
        <f>B7+C7</f>
        <v>-9819.6</v>
      </c>
      <c r="E7" s="20">
        <f>B7+E6</f>
        <v>4952.8</v>
      </c>
      <c r="F7" s="20">
        <f>C7+F6</f>
        <v>-51447.1</v>
      </c>
      <c r="G7" s="20">
        <f>D7+G6</f>
        <v>-46494.3</v>
      </c>
      <c r="H7" s="23"/>
      <c r="I7" s="23"/>
      <c r="J7" s="23"/>
    </row>
    <row r="8" ht="20.05" customHeight="1">
      <c r="A8" s="36">
        <f>1+$A7</f>
        <v>2011</v>
      </c>
      <c r="B8" s="19">
        <v>-6437</v>
      </c>
      <c r="C8" s="20">
        <v>-9102</v>
      </c>
      <c r="D8" s="20">
        <f>B8+C8</f>
        <v>-15539</v>
      </c>
      <c r="E8" s="20">
        <f>B8+E7</f>
        <v>-1484.2</v>
      </c>
      <c r="F8" s="20">
        <f>C8+F7</f>
        <v>-60549.1</v>
      </c>
      <c r="G8" s="20">
        <f>D8+G7</f>
        <v>-62033.3</v>
      </c>
      <c r="H8" s="23"/>
      <c r="I8" s="23"/>
      <c r="J8" s="23"/>
    </row>
    <row r="9" ht="20.05" customHeight="1">
      <c r="A9" s="36">
        <f>1+$A8</f>
        <v>2012</v>
      </c>
      <c r="B9" s="19">
        <v>-2580</v>
      </c>
      <c r="C9" s="20">
        <v>-10734</v>
      </c>
      <c r="D9" s="20">
        <f>B9+C9</f>
        <v>-13314</v>
      </c>
      <c r="E9" s="20">
        <f>B9+E8</f>
        <v>-4064.2</v>
      </c>
      <c r="F9" s="20">
        <f>C9+F8</f>
        <v>-71283.100000000006</v>
      </c>
      <c r="G9" s="20">
        <f>D9+G8</f>
        <v>-75347.3</v>
      </c>
      <c r="H9" s="23"/>
      <c r="I9" s="23"/>
      <c r="J9" s="23"/>
    </row>
    <row r="10" ht="20.05" customHeight="1">
      <c r="A10" s="36">
        <f>1+$A9</f>
        <v>2013</v>
      </c>
      <c r="B10" s="19">
        <v>-2651</v>
      </c>
      <c r="C10" s="20">
        <v>-10676</v>
      </c>
      <c r="D10" s="20">
        <f>B10+C10</f>
        <v>-13327</v>
      </c>
      <c r="E10" s="20">
        <f>B10+E9</f>
        <v>-6715.2</v>
      </c>
      <c r="F10" s="20">
        <f>C10+F9</f>
        <v>-81959.100000000006</v>
      </c>
      <c r="G10" s="20">
        <f>D10+G9</f>
        <v>-88674.3</v>
      </c>
      <c r="H10" s="23"/>
      <c r="I10" s="23"/>
      <c r="J10" s="23"/>
    </row>
    <row r="11" ht="20.05" customHeight="1">
      <c r="A11" s="36">
        <f>1+$A10</f>
        <v>2014</v>
      </c>
      <c r="B11" s="19">
        <v>2804</v>
      </c>
      <c r="C11" s="20">
        <v>-12887</v>
      </c>
      <c r="D11" s="20">
        <f>B11+C11</f>
        <v>-10083</v>
      </c>
      <c r="E11" s="20">
        <f>B11+E10</f>
        <v>-3911.2</v>
      </c>
      <c r="F11" s="20">
        <f>C11+F10</f>
        <v>-94846.100000000006</v>
      </c>
      <c r="G11" s="20">
        <f>D11+G10</f>
        <v>-98757.3</v>
      </c>
      <c r="H11" s="23"/>
      <c r="I11" s="23"/>
      <c r="J11" s="23"/>
    </row>
    <row r="12" ht="20.05" customHeight="1">
      <c r="A12" s="36">
        <f>1+$A11</f>
        <v>2015</v>
      </c>
      <c r="B12" s="19">
        <v>2303</v>
      </c>
      <c r="C12" s="20">
        <v>-8710</v>
      </c>
      <c r="D12" s="20">
        <f>B12+C12</f>
        <v>-6407</v>
      </c>
      <c r="E12" s="20">
        <f>B12+E11</f>
        <v>-1608.2</v>
      </c>
      <c r="F12" s="20">
        <f>C12+F11</f>
        <v>-103556.1</v>
      </c>
      <c r="G12" s="20">
        <f>D12+G11</f>
        <v>-105164.3</v>
      </c>
      <c r="H12" s="23"/>
      <c r="I12" s="23"/>
      <c r="J12" s="23"/>
    </row>
    <row r="13" ht="20.05" customHeight="1">
      <c r="A13" s="36">
        <f>1+$A12</f>
        <v>2016</v>
      </c>
      <c r="B13" s="19">
        <v>-9951</v>
      </c>
      <c r="C13" s="20">
        <v>-7954</v>
      </c>
      <c r="D13" s="20">
        <f>B13+C13</f>
        <v>-17905</v>
      </c>
      <c r="E13" s="20">
        <f>B13+E12</f>
        <v>-11559.2</v>
      </c>
      <c r="F13" s="20">
        <f>C13+F12</f>
        <v>-111510.1</v>
      </c>
      <c r="G13" s="20">
        <f>D13+G12</f>
        <v>-123069.3</v>
      </c>
      <c r="H13" s="23"/>
      <c r="I13" s="23"/>
      <c r="J13" s="23"/>
    </row>
    <row r="14" ht="20.05" customHeight="1">
      <c r="A14" s="36">
        <f>1+$A13</f>
        <v>2017</v>
      </c>
      <c r="B14" s="19">
        <v>2931</v>
      </c>
      <c r="C14" s="20">
        <v>-23983</v>
      </c>
      <c r="D14" s="20">
        <f>B14+C14</f>
        <v>-21052</v>
      </c>
      <c r="E14" s="20">
        <f>B14+E13</f>
        <v>-8628.200000000001</v>
      </c>
      <c r="F14" s="20">
        <f>C14+F13</f>
        <v>-135493.1</v>
      </c>
      <c r="G14" s="20">
        <f>D14+G13</f>
        <v>-144121.3</v>
      </c>
      <c r="H14" s="23"/>
      <c r="I14" s="23"/>
      <c r="J14" s="23"/>
    </row>
    <row r="15" ht="20.05" customHeight="1">
      <c r="A15" s="36">
        <f>1+$A14</f>
        <v>2018</v>
      </c>
      <c r="B15" s="19">
        <v>8285</v>
      </c>
      <c r="C15" s="20">
        <v>-26743</v>
      </c>
      <c r="D15" s="20">
        <f>B15+C15</f>
        <v>-18458</v>
      </c>
      <c r="E15" s="20">
        <f>B15+E14</f>
        <v>-343.2</v>
      </c>
      <c r="F15" s="20">
        <f>C15+F14</f>
        <v>-162236.1</v>
      </c>
      <c r="G15" s="20">
        <f>D15+G14</f>
        <v>-162579.3</v>
      </c>
      <c r="H15" s="23"/>
      <c r="I15" s="23"/>
      <c r="J15" s="23"/>
    </row>
    <row r="16" ht="20.05" customHeight="1">
      <c r="A16" s="36">
        <f>1+$A15</f>
        <v>2019</v>
      </c>
      <c r="B16" s="19">
        <v>7670</v>
      </c>
      <c r="C16" s="20">
        <v>-25917</v>
      </c>
      <c r="D16" s="20">
        <f>B16+C16</f>
        <v>-18247</v>
      </c>
      <c r="E16" s="20">
        <f>B16+E15</f>
        <v>7326.8</v>
      </c>
      <c r="F16" s="20">
        <f>C16+F15</f>
        <v>-188153.1</v>
      </c>
      <c r="G16" s="20">
        <f>D16+G15</f>
        <v>-180826.3</v>
      </c>
      <c r="H16" s="23"/>
      <c r="I16" s="23"/>
      <c r="J16" s="23"/>
    </row>
    <row r="17" ht="20.05" customHeight="1">
      <c r="A17" s="36">
        <f>1+$A16</f>
        <v>2020</v>
      </c>
      <c r="B17" s="19">
        <v>89</v>
      </c>
      <c r="C17" s="20">
        <v>-23040</v>
      </c>
      <c r="D17" s="20">
        <f>B17+C17</f>
        <v>-22951</v>
      </c>
      <c r="E17" s="20">
        <f>B17+E16</f>
        <v>7415.8</v>
      </c>
      <c r="F17" s="20">
        <f>C17+F16</f>
        <v>-211193.1</v>
      </c>
      <c r="G17" s="20">
        <f>D17+G16</f>
        <v>-203777.3</v>
      </c>
      <c r="H17" s="23"/>
      <c r="I17" s="23"/>
      <c r="J17" s="23"/>
    </row>
    <row r="18" ht="20.05" customHeight="1">
      <c r="A18" s="36">
        <f>1+$A17</f>
        <v>2021</v>
      </c>
      <c r="B18" s="19">
        <f>SUM('Cashflow'!G28:G31)</f>
        <v>2872</v>
      </c>
      <c r="C18" s="20">
        <f>SUM('Cashflow'!H28:H31)</f>
        <v>-11422</v>
      </c>
      <c r="D18" s="20">
        <f>B18+C18</f>
        <v>-8550</v>
      </c>
      <c r="E18" s="20">
        <f>B18+E17</f>
        <v>10287.8</v>
      </c>
      <c r="F18" s="20">
        <f>C18+F17</f>
        <v>-222615.1</v>
      </c>
      <c r="G18" s="20">
        <f>D18+G17</f>
        <v>-212327.3</v>
      </c>
      <c r="H18" s="20">
        <f>AVERAGE(D3:D18)</f>
        <v>-13270.45625</v>
      </c>
      <c r="I18" s="20">
        <f>AVERAGE(D14:D18)</f>
        <v>-17851.6</v>
      </c>
      <c r="J18" s="26">
        <f>SUM('Cashflow'!G29:H32)</f>
        <v>-15466</v>
      </c>
    </row>
    <row r="19" ht="20.05" customHeight="1">
      <c r="A19" s="36">
        <f>1+$A18</f>
        <v>2022</v>
      </c>
      <c r="B19" s="19">
        <f>'Cashflow'!G32</f>
        <v>-4228</v>
      </c>
      <c r="C19" s="20">
        <f>'Cashflow'!H32</f>
        <v>45</v>
      </c>
      <c r="D19" s="20">
        <f>B19+C19</f>
        <v>-4183</v>
      </c>
      <c r="E19" s="20">
        <f>B19+E18</f>
        <v>6059.8</v>
      </c>
      <c r="F19" s="20">
        <f>C19+F18</f>
        <v>-222570.1</v>
      </c>
      <c r="G19" s="20">
        <f>D19+G18</f>
        <v>-216510.3</v>
      </c>
      <c r="H19" s="23"/>
      <c r="I19" s="23"/>
      <c r="J19" s="23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