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<sst xmlns="http://schemas.openxmlformats.org/spreadsheetml/2006/main" uniqueCount="59">
  <si>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</si>
  <si>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$m</t>
  </si>
  <si>
    <t>4Q 2022</t>
  </si>
  <si>
    <t xml:space="preserve">Cashflow </t>
  </si>
  <si>
    <t xml:space="preserve">Growth </t>
  </si>
  <si>
    <t>Sales</t>
  </si>
  <si>
    <t>Cost ratio</t>
  </si>
  <si>
    <t>Cash costs</t>
  </si>
  <si>
    <t xml:space="preserve">Operating </t>
  </si>
  <si>
    <t xml:space="preserve">Investment 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</si>
  <si>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</si>
  <si>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</si>
  <si>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</si>
  <si>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</si>
  <si>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</si>
  <si>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</si>
  <si>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 xml:space="preserve">Beginning </t>
  </si>
  <si>
    <t>Change</t>
  </si>
  <si>
    <t>Ending</t>
  </si>
  <si>
    <t>Profit</t>
  </si>
  <si>
    <t xml:space="preserve">Non cash costs </t>
  </si>
  <si>
    <t xml:space="preserve">Associate </t>
  </si>
  <si>
    <t>Balance sheet</t>
  </si>
  <si>
    <t>Other assets</t>
  </si>
  <si>
    <t xml:space="preserve">Depreciation </t>
  </si>
  <si>
    <t>Net other assets</t>
  </si>
  <si>
    <t>Revolver</t>
  </si>
  <si>
    <t xml:space="preserve">Equity </t>
  </si>
  <si>
    <t>Check</t>
  </si>
  <si>
    <t xml:space="preserve">Net cash </t>
  </si>
  <si>
    <t xml:space="preserve">Valuation </t>
  </si>
  <si>
    <t xml:space="preserve">Rupiah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</si>
  <si>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</si>
  <si>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</si>
  <si>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</si>
  <si>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</si>
  <si>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</si>
  <si>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</si>
  <si>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</si>
  <si>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</si>
  <si>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</si>
  <si>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</si>
  <si>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</si>
  <si>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</si>
  <si>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</si>
  <si>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Sales growth </t>
  </si>
  <si>
    <t xml:space="preserve">Cash costs </t>
  </si>
  <si>
    <t>Cashflow</t>
  </si>
  <si>
    <t>Receipts</t>
  </si>
  <si>
    <t>Investment</t>
  </si>
  <si>
    <t>Leases</t>
  </si>
  <si>
    <t xml:space="preserve">Free cashflow </t>
  </si>
  <si>
    <t xml:space="preserve">Capital </t>
  </si>
  <si>
    <t>Cash</t>
  </si>
  <si>
    <t>Total assets</t>
  </si>
  <si>
    <t>Chexk</t>
  </si>
  <si>
    <t>Net cash</t>
  </si>
  <si>
    <t>Share price</t>
  </si>
  <si>
    <t>TKIM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</si>
</sst>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0.0"/>
    <numFmt numFmtId="62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502097</xdr:colOff>
      <xdr:row>1</xdr:row>
      <xdr:rowOff>70351</xdr:rowOff>
    </xdr:from>
    <xdr:to>
      <xdr:col>12</xdr:col>
      <xdr:colOff>922529</xdr:colOff>
      <xdr:row>49</xdr:row>
      <xdr:rowOff>245131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40697" y="421506"/>
          <a:ext cx="9132633" cy="12402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0937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AVERAGE('Sales'!H25:H28)</f>
        <v>0.0425868179722618</v>
      </c>
      <c r="C3" s="8"/>
      <c r="D3" s="8"/>
      <c r="E3" s="9">
        <f>AVERAGE(B4:E4)</f>
        <v>0.03</v>
      </c>
    </row>
    <row r="4" ht="20.05" customHeight="1">
      <c r="A4" t="s" s="10">
        <v>4</v>
      </c>
      <c r="B4" s="11">
        <v>-0.03</v>
      </c>
      <c r="C4" s="12">
        <v>0.07000000000000001</v>
      </c>
      <c r="D4" s="12">
        <v>0.09</v>
      </c>
      <c r="E4" s="12">
        <v>-0.01</v>
      </c>
    </row>
    <row r="5" ht="20.05" customHeight="1">
      <c r="A5" t="s" s="10">
        <v>5</v>
      </c>
      <c r="B5" s="13">
        <f>'Sales'!C28*(1+B4)</f>
        <v>292.94</v>
      </c>
      <c r="C5" s="14">
        <f>B5*(1+C4)</f>
        <v>313.4458</v>
      </c>
      <c r="D5" s="14">
        <f>C5*(1+D4)</f>
        <v>341.655922</v>
      </c>
      <c r="E5" s="14">
        <f>D5*(1+E4)</f>
        <v>338.23936278</v>
      </c>
    </row>
    <row r="6" ht="20.05" customHeight="1">
      <c r="A6" t="s" s="10">
        <v>6</v>
      </c>
      <c r="B6" s="15">
        <f>AVERAGE('Sales'!J20)</f>
        <v>-0.875971169177046</v>
      </c>
      <c r="C6" s="16">
        <f>B6</f>
        <v>-0.875971169177046</v>
      </c>
      <c r="D6" s="16">
        <f>C6</f>
        <v>-0.875971169177046</v>
      </c>
      <c r="E6" s="16">
        <f>D6</f>
        <v>-0.875971169177046</v>
      </c>
    </row>
    <row r="7" ht="20.05" customHeight="1">
      <c r="A7" t="s" s="10">
        <v>7</v>
      </c>
      <c r="B7" s="17">
        <f>B5*B6</f>
        <v>-256.606994298724</v>
      </c>
      <c r="C7" s="18">
        <f>C5*C6</f>
        <v>-274.569483899635</v>
      </c>
      <c r="D7" s="18">
        <f>D5*D6</f>
        <v>-299.280737450602</v>
      </c>
      <c r="E7" s="18">
        <f>E5*E6</f>
        <v>-296.287930076096</v>
      </c>
    </row>
    <row r="8" ht="20.05" customHeight="1">
      <c r="A8" t="s" s="10">
        <v>8</v>
      </c>
      <c r="B8" s="17">
        <f>B5+B7</f>
        <v>36.333005701276</v>
      </c>
      <c r="C8" s="18">
        <f>C5+C7</f>
        <v>38.876316100365</v>
      </c>
      <c r="D8" s="18">
        <f>D5+D7</f>
        <v>42.375184549398</v>
      </c>
      <c r="E8" s="18">
        <f>E5+E7</f>
        <v>41.951432703904</v>
      </c>
    </row>
    <row r="9" ht="20.05" customHeight="1">
      <c r="A9" t="s" s="10">
        <v>9</v>
      </c>
      <c r="B9" s="17">
        <f>AVERAGE('Cashflow '!E22)</f>
        <v>-0.4</v>
      </c>
      <c r="C9" s="18">
        <f>B9</f>
        <v>-0.4</v>
      </c>
      <c r="D9" s="18">
        <f>C9</f>
        <v>-0.4</v>
      </c>
      <c r="E9" s="18">
        <f>D9</f>
        <v>-0.4</v>
      </c>
    </row>
    <row r="10" ht="20.05" customHeight="1">
      <c r="A10" t="s" s="10">
        <v>10</v>
      </c>
      <c r="B10" s="17">
        <f>B11+B14+B12</f>
        <v>-35.933005701276</v>
      </c>
      <c r="C10" s="18">
        <f>C11+C14+C12</f>
        <v>-38.476316100365</v>
      </c>
      <c r="D10" s="18">
        <f>D11+D14+D12</f>
        <v>-41.975184549398</v>
      </c>
      <c r="E10" s="18">
        <f>E11+E14+E12</f>
        <v>-41.551432703904</v>
      </c>
    </row>
    <row r="11" ht="20.05" customHeight="1">
      <c r="A11" t="s" s="10">
        <v>11</v>
      </c>
      <c r="B11" s="17">
        <f>-'Balance sheet'!G19/20</f>
        <v>-63.05</v>
      </c>
      <c r="C11" s="18">
        <f>-B27/20</f>
        <v>-59.8975</v>
      </c>
      <c r="D11" s="18">
        <f>-C27/20</f>
        <v>-56.902625</v>
      </c>
      <c r="E11" s="18">
        <f>-D27/20</f>
        <v>-54.05749375</v>
      </c>
    </row>
    <row r="12" ht="20.05" customHeight="1">
      <c r="A12" t="s" s="10">
        <v>12</v>
      </c>
      <c r="B12" s="17">
        <f>-MIN(0,B15)</f>
        <v>27.116994298724</v>
      </c>
      <c r="C12" s="18">
        <f>-MIN(B28,C15)</f>
        <v>21.421183899635</v>
      </c>
      <c r="D12" s="18">
        <f>-MIN(C28,D15)</f>
        <v>14.927440450602</v>
      </c>
      <c r="E12" s="18">
        <f>-MIN(D28,E15)</f>
        <v>12.506061046096</v>
      </c>
    </row>
    <row r="13" ht="20.05" customHeight="1">
      <c r="A13" t="s" s="10">
        <v>13</v>
      </c>
      <c r="B13" s="19">
        <v>0</v>
      </c>
      <c r="C13" s="18"/>
      <c r="D13" s="18"/>
      <c r="E13" s="18"/>
    </row>
    <row r="14" ht="20.05" customHeight="1">
      <c r="A14" t="s" s="10">
        <v>14</v>
      </c>
      <c r="B14" s="17">
        <f>IF(B22&gt;0,-B22*$B$13,0)</f>
        <v>0</v>
      </c>
      <c r="C14" s="18">
        <f>IF(C22&gt;0,-C22*$B$13,0)</f>
        <v>0</v>
      </c>
      <c r="D14" s="18">
        <f>IF(D22&gt;0,-D22*$B$13,0)</f>
        <v>0</v>
      </c>
      <c r="E14" s="18">
        <f>IF(E22&gt;0,-E22*$B$13,0)</f>
        <v>0</v>
      </c>
    </row>
    <row r="15" ht="20.05" customHeight="1">
      <c r="A15" t="s" s="10">
        <v>15</v>
      </c>
      <c r="B15" s="17">
        <f>B8+B9+B11+B14</f>
        <v>-27.116994298724</v>
      </c>
      <c r="C15" s="18">
        <f>C8+C9+C11+C14</f>
        <v>-21.421183899635</v>
      </c>
      <c r="D15" s="18">
        <f>D8+D9+D11+D14</f>
        <v>-14.927440450602</v>
      </c>
      <c r="E15" s="18">
        <f>E8+E9+E11+E14</f>
        <v>-12.506061046096</v>
      </c>
    </row>
    <row r="16" ht="20.05" customHeight="1">
      <c r="A16" t="s" s="10">
        <v>16</v>
      </c>
      <c r="B16" s="17">
        <f>'Balance sheet'!C19</f>
        <v>141</v>
      </c>
      <c r="C16" s="18">
        <f>B18</f>
        <v>141</v>
      </c>
      <c r="D16" s="18">
        <f>C18</f>
        <v>141</v>
      </c>
      <c r="E16" s="18">
        <f>D18</f>
        <v>141</v>
      </c>
    </row>
    <row r="17" ht="20.05" customHeight="1">
      <c r="A17" t="s" s="10">
        <v>17</v>
      </c>
      <c r="B17" s="17">
        <f>B8+B9+B10</f>
        <v>0</v>
      </c>
      <c r="C17" s="18">
        <f>C8+C9+C10</f>
        <v>0</v>
      </c>
      <c r="D17" s="18">
        <f>D8+D9+D10</f>
        <v>0</v>
      </c>
      <c r="E17" s="18">
        <f>E8+E9+E10</f>
        <v>0</v>
      </c>
    </row>
    <row r="18" ht="20.05" customHeight="1">
      <c r="A18" t="s" s="10">
        <v>18</v>
      </c>
      <c r="B18" s="17">
        <f>B16+B17</f>
        <v>141</v>
      </c>
      <c r="C18" s="18">
        <f>C16+C17</f>
        <v>141</v>
      </c>
      <c r="D18" s="18">
        <f>D16+D17</f>
        <v>141</v>
      </c>
      <c r="E18" s="18">
        <f>E16+E17</f>
        <v>141</v>
      </c>
    </row>
    <row r="19" ht="20.05" customHeight="1">
      <c r="A19" t="s" s="20">
        <v>19</v>
      </c>
      <c r="B19" s="13"/>
      <c r="C19" s="21"/>
      <c r="D19" s="21"/>
      <c r="E19" s="22"/>
    </row>
    <row r="20" ht="20.05" customHeight="1">
      <c r="A20" t="s" s="10">
        <v>20</v>
      </c>
      <c r="B20" s="17">
        <f>-AVERAGE('Sales'!E28)</f>
        <v>-19.4</v>
      </c>
      <c r="C20" s="18">
        <f>B20</f>
        <v>-19.4</v>
      </c>
      <c r="D20" s="18">
        <f>C20</f>
        <v>-19.4</v>
      </c>
      <c r="E20" s="18">
        <f>D20</f>
        <v>-19.4</v>
      </c>
    </row>
    <row r="21" ht="20.05" customHeight="1">
      <c r="A21" t="s" s="10">
        <v>21</v>
      </c>
      <c r="B21" s="17">
        <f>AVERAGE('Sales'!F25:F28)</f>
        <v>58.80375</v>
      </c>
      <c r="C21" s="18">
        <f>B21</f>
        <v>58.80375</v>
      </c>
      <c r="D21" s="18">
        <f>C21</f>
        <v>58.80375</v>
      </c>
      <c r="E21" s="18">
        <f>D21</f>
        <v>58.80375</v>
      </c>
    </row>
    <row r="22" ht="20.05" customHeight="1">
      <c r="A22" t="s" s="10">
        <v>19</v>
      </c>
      <c r="B22" s="17">
        <f>B5+B7+B20+B21</f>
        <v>75.736755701276</v>
      </c>
      <c r="C22" s="18">
        <f>C5+C7+C20+C21</f>
        <v>78.280066100365</v>
      </c>
      <c r="D22" s="18">
        <f>D5+D7+D20+D21</f>
        <v>81.778934549398</v>
      </c>
      <c r="E22" s="18">
        <f>E5+E7+E20+E21</f>
        <v>81.35518270390401</v>
      </c>
    </row>
    <row r="23" ht="20.05" customHeight="1">
      <c r="A23" t="s" s="20">
        <v>22</v>
      </c>
      <c r="B23" s="13"/>
      <c r="C23" s="21"/>
      <c r="D23" s="21"/>
      <c r="E23" s="21"/>
    </row>
    <row r="24" ht="20.05" customHeight="1">
      <c r="A24" t="s" s="10">
        <v>23</v>
      </c>
      <c r="B24" s="17">
        <f>'Balance sheet'!E19+'Balance sheet'!F19-B9+B21</f>
        <v>5052.40375</v>
      </c>
      <c r="C24" s="18">
        <f>B24-C9+C21</f>
        <v>5111.6075</v>
      </c>
      <c r="D24" s="18">
        <f>C24-D9+D21</f>
        <v>5170.81125</v>
      </c>
      <c r="E24" s="18">
        <f>D24-E9+E21</f>
        <v>5230.015</v>
      </c>
    </row>
    <row r="25" ht="20.05" customHeight="1">
      <c r="A25" t="s" s="10">
        <v>24</v>
      </c>
      <c r="B25" s="17">
        <f>'Balance sheet'!F19-B20</f>
        <v>2062.6</v>
      </c>
      <c r="C25" s="18">
        <f>B25-C20</f>
        <v>2082</v>
      </c>
      <c r="D25" s="18">
        <f>C25-D20</f>
        <v>2101.4</v>
      </c>
      <c r="E25" s="18">
        <f>D25-E20</f>
        <v>2120.8</v>
      </c>
    </row>
    <row r="26" ht="20.05" customHeight="1">
      <c r="A26" t="s" s="10">
        <v>25</v>
      </c>
      <c r="B26" s="17">
        <f>B24-B25</f>
        <v>2989.80375</v>
      </c>
      <c r="C26" s="18">
        <f>C24-C25</f>
        <v>3029.6075</v>
      </c>
      <c r="D26" s="18">
        <f>D24-D25</f>
        <v>3069.41125</v>
      </c>
      <c r="E26" s="18">
        <f>E24-E25</f>
        <v>3109.215</v>
      </c>
    </row>
    <row r="27" ht="20.05" customHeight="1">
      <c r="A27" t="s" s="10">
        <v>11</v>
      </c>
      <c r="B27" s="17">
        <f>'Balance sheet'!G19+B11</f>
        <v>1197.95</v>
      </c>
      <c r="C27" s="18">
        <f>B27+C11</f>
        <v>1138.0525</v>
      </c>
      <c r="D27" s="18">
        <f>C27+D11</f>
        <v>1081.149875</v>
      </c>
      <c r="E27" s="18">
        <f>D27+E11</f>
        <v>1027.09238125</v>
      </c>
    </row>
    <row r="28" ht="20.05" customHeight="1">
      <c r="A28" t="s" s="10">
        <v>26</v>
      </c>
      <c r="B28" s="17">
        <f>B12</f>
        <v>27.116994298724</v>
      </c>
      <c r="C28" s="18">
        <f>B28+C12</f>
        <v>48.538178198359</v>
      </c>
      <c r="D28" s="18">
        <f>C28+D12</f>
        <v>63.465618648961</v>
      </c>
      <c r="E28" s="18">
        <f>D28+E12</f>
        <v>75.97167969505701</v>
      </c>
    </row>
    <row r="29" ht="20.05" customHeight="1">
      <c r="A29" t="s" s="10">
        <v>27</v>
      </c>
      <c r="B29" s="17">
        <f>'Balance sheet'!H19+B22+B14</f>
        <v>1905.736755701280</v>
      </c>
      <c r="C29" s="18">
        <f>B29+C22+C14</f>
        <v>1984.016821801650</v>
      </c>
      <c r="D29" s="18">
        <f>C29+D22+D14</f>
        <v>2065.795756351050</v>
      </c>
      <c r="E29" s="18">
        <f>D29+E22+E14</f>
        <v>2147.150939054950</v>
      </c>
    </row>
    <row r="30" ht="20.05" customHeight="1">
      <c r="A30" t="s" s="10">
        <v>28</v>
      </c>
      <c r="B30" s="17">
        <f>B27+B28+B29-B18-B26</f>
        <v>4e-12</v>
      </c>
      <c r="C30" s="18">
        <f>C27+C28+C29-C18-C26</f>
        <v>9e-12</v>
      </c>
      <c r="D30" s="18">
        <f>D27+D28+D29-D18-D26</f>
        <v>1.1e-11</v>
      </c>
      <c r="E30" s="18">
        <f>E27+E28+E29-E18-E26</f>
        <v>7e-12</v>
      </c>
    </row>
    <row r="31" ht="20.05" customHeight="1">
      <c r="A31" t="s" s="10">
        <v>29</v>
      </c>
      <c r="B31" s="17">
        <f>B18-B27-B28</f>
        <v>-1084.066994298720</v>
      </c>
      <c r="C31" s="18">
        <f>C18-C27-C28</f>
        <v>-1045.590678198360</v>
      </c>
      <c r="D31" s="18">
        <f>D18-D27-D28</f>
        <v>-1003.615493648960</v>
      </c>
      <c r="E31" s="18">
        <f>E18-E27-E28</f>
        <v>-962.064060945057</v>
      </c>
    </row>
    <row r="32" ht="20.05" customHeight="1">
      <c r="A32" t="s" s="20">
        <v>30</v>
      </c>
      <c r="B32" s="13"/>
      <c r="C32" s="21"/>
      <c r="D32" s="21"/>
      <c r="E32" s="21"/>
    </row>
    <row r="33" ht="20.05" customHeight="1">
      <c r="A33" t="s" s="10">
        <v>31</v>
      </c>
      <c r="B33" s="23"/>
      <c r="C33" s="22"/>
      <c r="D33" s="22"/>
      <c r="E33" s="21">
        <v>14</v>
      </c>
    </row>
    <row r="34" ht="20.05" customHeight="1">
      <c r="A34" t="s" s="10">
        <v>32</v>
      </c>
      <c r="B34" s="17">
        <f>'Cashflow '!M28-B10</f>
        <v>588.428005701276</v>
      </c>
      <c r="C34" s="24">
        <f>B34-C10</f>
        <v>626.904321801641</v>
      </c>
      <c r="D34" s="24">
        <f>C34-D10</f>
        <v>668.879506351039</v>
      </c>
      <c r="E34" s="24">
        <f>D34-E10</f>
        <v>710.430939054943</v>
      </c>
    </row>
    <row r="35" ht="20.05" customHeight="1">
      <c r="A35" t="s" s="10">
        <v>33</v>
      </c>
      <c r="B35" s="13"/>
      <c r="C35" s="21"/>
      <c r="D35" s="21"/>
      <c r="E35" s="18">
        <v>22259523686400</v>
      </c>
    </row>
    <row r="36" ht="20.05" customHeight="1">
      <c r="A36" t="s" s="10">
        <v>33</v>
      </c>
      <c r="B36" s="13"/>
      <c r="C36" s="21"/>
      <c r="D36" s="21"/>
      <c r="E36" s="18">
        <f>(E35/1000000000)/E33</f>
        <v>1589.9659776</v>
      </c>
    </row>
    <row r="37" ht="20.05" customHeight="1">
      <c r="A37" t="s" s="10">
        <v>34</v>
      </c>
      <c r="B37" s="13"/>
      <c r="C37" s="21"/>
      <c r="D37" s="21"/>
      <c r="E37" s="25">
        <f>E36/(E18+E26)</f>
        <v>0.489187939136334</v>
      </c>
    </row>
    <row r="38" ht="20.05" customHeight="1">
      <c r="A38" t="s" s="10">
        <v>35</v>
      </c>
      <c r="B38" s="23"/>
      <c r="C38" s="22"/>
      <c r="D38" s="22"/>
      <c r="E38" s="26">
        <f>-(B14+C14+D14+E14)/E36</f>
        <v>0</v>
      </c>
    </row>
    <row r="39" ht="20.05" customHeight="1">
      <c r="A39" t="s" s="10">
        <v>3</v>
      </c>
      <c r="B39" s="23"/>
      <c r="C39" s="22"/>
      <c r="D39" s="22"/>
      <c r="E39" s="18">
        <f>SUM(B8:E9)</f>
        <v>157.935939054943</v>
      </c>
    </row>
    <row r="40" ht="20.05" customHeight="1">
      <c r="A40" t="s" s="10">
        <v>36</v>
      </c>
      <c r="B40" s="23"/>
      <c r="C40" s="22"/>
      <c r="D40" s="22"/>
      <c r="E40" s="18">
        <f>'Balance sheet'!E19/E39</f>
        <v>18.6784592389307</v>
      </c>
    </row>
    <row r="41" ht="20.05" customHeight="1">
      <c r="A41" t="s" s="10">
        <v>30</v>
      </c>
      <c r="B41" s="23"/>
      <c r="C41" s="22"/>
      <c r="D41" s="22"/>
      <c r="E41" s="18">
        <f>E36/E39</f>
        <v>10.0671575267418</v>
      </c>
    </row>
    <row r="42" ht="20.05" customHeight="1">
      <c r="A42" t="s" s="10">
        <v>37</v>
      </c>
      <c r="B42" s="23"/>
      <c r="C42" s="22"/>
      <c r="D42" s="22"/>
      <c r="E42" s="21">
        <v>18</v>
      </c>
    </row>
    <row r="43" ht="20.05" customHeight="1">
      <c r="A43" t="s" s="10">
        <v>38</v>
      </c>
      <c r="B43" s="23"/>
      <c r="C43" s="22"/>
      <c r="D43" s="22"/>
      <c r="E43" s="18">
        <f>E39*E42</f>
        <v>2842.846902988970</v>
      </c>
    </row>
    <row r="44" ht="20.05" customHeight="1">
      <c r="A44" t="s" s="10">
        <v>39</v>
      </c>
      <c r="B44" s="23"/>
      <c r="C44" s="22"/>
      <c r="D44" s="22"/>
      <c r="E44" s="18">
        <f>(E35/1000000000)/E46</f>
        <v>3.113220096</v>
      </c>
    </row>
    <row r="45" ht="20.05" customHeight="1">
      <c r="A45" t="s" s="10">
        <v>40</v>
      </c>
      <c r="B45" s="23"/>
      <c r="C45" s="22"/>
      <c r="D45" s="22"/>
      <c r="E45" s="18">
        <f>(E43/E44)*E33</f>
        <v>12784.1448450696</v>
      </c>
    </row>
    <row r="46" ht="20.05" customHeight="1">
      <c r="A46" t="s" s="10">
        <v>41</v>
      </c>
      <c r="B46" s="23"/>
      <c r="C46" s="22"/>
      <c r="D46" s="22"/>
      <c r="E46" s="18">
        <v>7150</v>
      </c>
    </row>
    <row r="47" ht="20.05" customHeight="1">
      <c r="A47" t="s" s="10">
        <v>42</v>
      </c>
      <c r="B47" s="23"/>
      <c r="C47" s="22"/>
      <c r="D47" s="22"/>
      <c r="E47" s="16">
        <f>E45/E46-1</f>
        <v>0.78799228602372</v>
      </c>
    </row>
    <row r="48" ht="20.05" customHeight="1">
      <c r="A48" t="s" s="10">
        <v>43</v>
      </c>
      <c r="B48" s="23"/>
      <c r="C48" s="22"/>
      <c r="D48" s="22"/>
      <c r="E48" s="16">
        <f>'Sales'!C28/'Sales'!C24-1</f>
        <v>0.132061326236084</v>
      </c>
    </row>
    <row r="49" ht="20.05" customHeight="1">
      <c r="A49" t="s" s="10">
        <v>44</v>
      </c>
      <c r="B49" s="23"/>
      <c r="C49" s="22"/>
      <c r="D49" s="22"/>
      <c r="E49" s="16">
        <f>'Sales'!F31/'Sales'!E31-1</f>
        <v>-0.0341243073333549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16406" style="27" customWidth="1"/>
    <col min="2" max="11" width="10.7109" style="27" customWidth="1"/>
    <col min="12" max="16384" width="16.3516" style="27" customWidth="1"/>
  </cols>
  <sheetData>
    <row r="1" ht="8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37</v>
      </c>
      <c r="E3" t="s" s="5">
        <v>24</v>
      </c>
      <c r="F3" t="s" s="5">
        <v>21</v>
      </c>
      <c r="G3" t="s" s="5">
        <v>19</v>
      </c>
      <c r="H3" t="s" s="5">
        <v>45</v>
      </c>
      <c r="I3" t="s" s="5">
        <v>46</v>
      </c>
      <c r="J3" t="s" s="5">
        <v>46</v>
      </c>
      <c r="K3" t="s" s="5">
        <v>37</v>
      </c>
    </row>
    <row r="4" ht="20.25" customHeight="1">
      <c r="B4" s="28">
        <v>2016</v>
      </c>
      <c r="C4" s="29">
        <v>271</v>
      </c>
      <c r="D4" s="30"/>
      <c r="E4" s="30">
        <v>22</v>
      </c>
      <c r="F4" s="30"/>
      <c r="G4" s="30">
        <v>10</v>
      </c>
      <c r="H4" s="31"/>
      <c r="I4" s="31">
        <f>(E4+G4-C4)/C4</f>
        <v>-0.881918819188192</v>
      </c>
      <c r="J4" s="31"/>
      <c r="K4" s="8"/>
    </row>
    <row r="5" ht="20.05" customHeight="1">
      <c r="B5" s="32"/>
      <c r="C5" s="17">
        <v>380.5</v>
      </c>
      <c r="D5" s="21"/>
      <c r="E5" s="18">
        <v>33.5</v>
      </c>
      <c r="F5" s="18"/>
      <c r="G5" s="18">
        <v>5.5</v>
      </c>
      <c r="H5" s="16">
        <f>C5/C4-1</f>
        <v>0.404059040590406</v>
      </c>
      <c r="I5" s="16">
        <f>(E5+G5-C5)/C5</f>
        <v>-0.897503285151117</v>
      </c>
      <c r="J5" s="16"/>
      <c r="K5" s="22"/>
    </row>
    <row r="6" ht="20.05" customHeight="1">
      <c r="B6" s="32"/>
      <c r="C6" s="17">
        <v>380.5</v>
      </c>
      <c r="D6" s="21"/>
      <c r="E6" s="18">
        <v>33.5</v>
      </c>
      <c r="F6" s="18"/>
      <c r="G6" s="18">
        <v>5.5</v>
      </c>
      <c r="H6" s="16">
        <f>C6/C5-1</f>
        <v>0</v>
      </c>
      <c r="I6" s="16">
        <f>(E6+G6-C6)/C6</f>
        <v>-0.897503285151117</v>
      </c>
      <c r="J6" s="16"/>
      <c r="K6" s="22"/>
    </row>
    <row r="7" ht="20.05" customHeight="1">
      <c r="B7" s="32"/>
      <c r="C7" s="17">
        <v>236</v>
      </c>
      <c r="D7" s="18"/>
      <c r="E7" s="18">
        <v>21</v>
      </c>
      <c r="F7" s="18"/>
      <c r="G7" s="18">
        <v>-3</v>
      </c>
      <c r="H7" s="16">
        <f>C7/C6-1</f>
        <v>-0.37976346911958</v>
      </c>
      <c r="I7" s="16">
        <f>(E7+G7-C7)/C7</f>
        <v>-0.923728813559322</v>
      </c>
      <c r="J7" s="16"/>
      <c r="K7" s="22"/>
    </row>
    <row r="8" ht="20.05" customHeight="1">
      <c r="B8" s="33">
        <v>2017</v>
      </c>
      <c r="C8" s="17">
        <v>271</v>
      </c>
      <c r="D8" s="18"/>
      <c r="E8" s="18">
        <v>21</v>
      </c>
      <c r="F8" s="18"/>
      <c r="G8" s="18">
        <v>8</v>
      </c>
      <c r="H8" s="16">
        <f>C8/C7-1</f>
        <v>0.148305084745763</v>
      </c>
      <c r="I8" s="16">
        <f>(E8+G8-C8)/C8</f>
        <v>-0.892988929889299</v>
      </c>
      <c r="J8" s="16">
        <f>AVERAGE(I5:I8)</f>
        <v>-0.902931078437714</v>
      </c>
      <c r="K8" s="22"/>
    </row>
    <row r="9" ht="20.05" customHeight="1">
      <c r="B9" s="32"/>
      <c r="C9" s="17">
        <v>254</v>
      </c>
      <c r="D9" s="18"/>
      <c r="E9" s="18">
        <v>21</v>
      </c>
      <c r="F9" s="18"/>
      <c r="G9" s="18">
        <v>-4</v>
      </c>
      <c r="H9" s="16">
        <f>C9/C8-1</f>
        <v>-0.0627306273062731</v>
      </c>
      <c r="I9" s="16">
        <f>(E9+G9-C9)/C9</f>
        <v>-0.933070866141732</v>
      </c>
      <c r="J9" s="16">
        <f>AVERAGE(I6:I9)</f>
        <v>-0.911822973685368</v>
      </c>
      <c r="K9" s="22"/>
    </row>
    <row r="10" ht="20.05" customHeight="1">
      <c r="B10" s="32"/>
      <c r="C10" s="17">
        <v>258</v>
      </c>
      <c r="D10" s="18"/>
      <c r="E10" s="18">
        <v>21</v>
      </c>
      <c r="F10" s="18"/>
      <c r="G10" s="18">
        <v>18</v>
      </c>
      <c r="H10" s="16">
        <f>C10/C9-1</f>
        <v>0.015748031496063</v>
      </c>
      <c r="I10" s="16">
        <f>(E10+G10-C10)/C10</f>
        <v>-0.848837209302326</v>
      </c>
      <c r="J10" s="16">
        <f>AVERAGE(I7:I10)</f>
        <v>-0.89965645472317</v>
      </c>
      <c r="K10" s="22"/>
    </row>
    <row r="11" ht="20.05" customHeight="1">
      <c r="B11" s="32"/>
      <c r="C11" s="17">
        <v>229</v>
      </c>
      <c r="D11" s="18"/>
      <c r="E11" s="18">
        <v>20</v>
      </c>
      <c r="F11" s="18"/>
      <c r="G11" s="18">
        <v>5</v>
      </c>
      <c r="H11" s="16">
        <f>C11/C10-1</f>
        <v>-0.112403100775194</v>
      </c>
      <c r="I11" s="16">
        <f>(E11+G11-C11)/C11</f>
        <v>-0.890829694323144</v>
      </c>
      <c r="J11" s="16">
        <f>AVERAGE(I8:I11)</f>
        <v>-0.891431674914125</v>
      </c>
      <c r="K11" s="22"/>
    </row>
    <row r="12" ht="20.05" customHeight="1">
      <c r="B12" s="33">
        <v>2018</v>
      </c>
      <c r="C12" s="17">
        <v>276</v>
      </c>
      <c r="D12" s="18"/>
      <c r="E12" s="18">
        <v>23</v>
      </c>
      <c r="F12" s="18"/>
      <c r="G12" s="18">
        <v>47</v>
      </c>
      <c r="H12" s="16">
        <f>C12/C11-1</f>
        <v>0.205240174672489</v>
      </c>
      <c r="I12" s="16">
        <f>(E12+G12-C12)/C12</f>
        <v>-0.746376811594203</v>
      </c>
      <c r="J12" s="16">
        <f>AVERAGE(I9:I12)</f>
        <v>-0.854778645340351</v>
      </c>
      <c r="K12" s="22"/>
    </row>
    <row r="13" ht="20.05" customHeight="1">
      <c r="B13" s="32"/>
      <c r="C13" s="17">
        <v>272</v>
      </c>
      <c r="D13" s="18"/>
      <c r="E13" s="18">
        <v>23</v>
      </c>
      <c r="F13" s="18"/>
      <c r="G13" s="18">
        <v>101</v>
      </c>
      <c r="H13" s="16">
        <f>C13/C12-1</f>
        <v>-0.0144927536231884</v>
      </c>
      <c r="I13" s="16">
        <f>(E13+G13-C13)/C13</f>
        <v>-0.544117647058824</v>
      </c>
      <c r="J13" s="16">
        <f>AVERAGE(I10:I13)</f>
        <v>-0.757540340569624</v>
      </c>
      <c r="K13" s="22"/>
    </row>
    <row r="14" ht="20.05" customHeight="1">
      <c r="B14" s="32"/>
      <c r="C14" s="17">
        <v>269</v>
      </c>
      <c r="D14" s="18"/>
      <c r="E14" s="18">
        <v>23</v>
      </c>
      <c r="F14" s="18"/>
      <c r="G14" s="18">
        <v>100</v>
      </c>
      <c r="H14" s="16">
        <f>C14/C13-1</f>
        <v>-0.0110294117647059</v>
      </c>
      <c r="I14" s="16">
        <f>(E14+G14-C14)/C14</f>
        <v>-0.54275092936803</v>
      </c>
      <c r="J14" s="16">
        <f>AVERAGE(I11:I14)</f>
        <v>-0.68101877058605</v>
      </c>
      <c r="K14" s="22"/>
    </row>
    <row r="15" ht="20.05" customHeight="1">
      <c r="B15" s="32"/>
      <c r="C15" s="17">
        <v>239</v>
      </c>
      <c r="D15" s="18"/>
      <c r="E15" s="18">
        <v>23</v>
      </c>
      <c r="F15" s="18"/>
      <c r="G15" s="18">
        <v>-2</v>
      </c>
      <c r="H15" s="16">
        <f>C15/C14-1</f>
        <v>-0.111524163568773</v>
      </c>
      <c r="I15" s="16">
        <f>(E15+G15-C15)/C15</f>
        <v>-0.9121338912133889</v>
      </c>
      <c r="J15" s="16">
        <f>AVERAGE(I12:I15)</f>
        <v>-0.686344819808612</v>
      </c>
      <c r="K15" s="22"/>
    </row>
    <row r="16" ht="20.05" customHeight="1">
      <c r="B16" s="33">
        <v>2019</v>
      </c>
      <c r="C16" s="17">
        <v>307</v>
      </c>
      <c r="D16" s="18"/>
      <c r="E16" s="18">
        <v>23</v>
      </c>
      <c r="F16" s="18">
        <v>50.15</v>
      </c>
      <c r="G16" s="18">
        <v>48</v>
      </c>
      <c r="H16" s="16">
        <f>C16/C15-1</f>
        <v>0.284518828451883</v>
      </c>
      <c r="I16" s="16">
        <f>(E16+G16-F16-C16)/C16</f>
        <v>-0.932084690553746</v>
      </c>
      <c r="J16" s="16">
        <f>AVERAGE(I13:I16)</f>
        <v>-0.732771789548497</v>
      </c>
      <c r="K16" s="22"/>
    </row>
    <row r="17" ht="20.05" customHeight="1">
      <c r="B17" s="32"/>
      <c r="C17" s="17">
        <v>271</v>
      </c>
      <c r="D17" s="18"/>
      <c r="E17" s="18">
        <v>22</v>
      </c>
      <c r="F17" s="18">
        <v>50.15</v>
      </c>
      <c r="G17" s="18">
        <v>57</v>
      </c>
      <c r="H17" s="16">
        <f>C17/C16-1</f>
        <v>-0.117263843648208</v>
      </c>
      <c r="I17" s="16">
        <f>(E17+G17-F17-C17)/C17</f>
        <v>-0.893542435424354</v>
      </c>
      <c r="J17" s="16">
        <f>AVERAGE(I14:I17)</f>
        <v>-0.82012798663988</v>
      </c>
      <c r="K17" s="22"/>
    </row>
    <row r="18" ht="20.05" customHeight="1">
      <c r="B18" s="32"/>
      <c r="C18" s="17">
        <v>249</v>
      </c>
      <c r="D18" s="18"/>
      <c r="E18" s="18">
        <v>23</v>
      </c>
      <c r="F18" s="18">
        <v>50.15</v>
      </c>
      <c r="G18" s="18">
        <v>47</v>
      </c>
      <c r="H18" s="16">
        <f>C18/C17-1</f>
        <v>-0.08118081180811811</v>
      </c>
      <c r="I18" s="16">
        <f>(E18+G18-F18-C18)/C18</f>
        <v>-0.920281124497992</v>
      </c>
      <c r="J18" s="16">
        <f>AVERAGE(I15:I18)</f>
        <v>-0.91451053542237</v>
      </c>
      <c r="K18" s="22"/>
    </row>
    <row r="19" ht="20.05" customHeight="1">
      <c r="B19" s="32"/>
      <c r="C19" s="17">
        <v>220</v>
      </c>
      <c r="D19" s="18"/>
      <c r="E19" s="18">
        <v>22</v>
      </c>
      <c r="F19" s="18">
        <v>50.15</v>
      </c>
      <c r="G19" s="18">
        <v>15</v>
      </c>
      <c r="H19" s="16">
        <f>C19/C18-1</f>
        <v>-0.116465863453815</v>
      </c>
      <c r="I19" s="16">
        <f>(E19+G19-F19-C19)/C19</f>
        <v>-1.05977272727273</v>
      </c>
      <c r="J19" s="16">
        <f>AVERAGE(I16:I19)</f>
        <v>-0.951420244437206</v>
      </c>
      <c r="K19" s="22"/>
    </row>
    <row r="20" ht="20.05" customHeight="1">
      <c r="B20" s="33">
        <v>2020</v>
      </c>
      <c r="C20" s="17">
        <v>267</v>
      </c>
      <c r="D20" s="18"/>
      <c r="E20" s="18">
        <v>22</v>
      </c>
      <c r="F20" s="18">
        <v>79.28700000000001</v>
      </c>
      <c r="G20" s="18">
        <v>156</v>
      </c>
      <c r="H20" s="16">
        <f>C20/C19-1</f>
        <v>0.213636363636364</v>
      </c>
      <c r="I20" s="16">
        <f>(E20+G20-F20-C20)/C20</f>
        <v>-0.6302883895131089</v>
      </c>
      <c r="J20" s="16">
        <f>AVERAGE(I17:I20)</f>
        <v>-0.875971169177046</v>
      </c>
      <c r="K20" s="22"/>
    </row>
    <row r="21" ht="20.05" customHeight="1">
      <c r="B21" s="32"/>
      <c r="C21" s="17">
        <v>183</v>
      </c>
      <c r="D21" s="18"/>
      <c r="E21" s="18">
        <v>22</v>
      </c>
      <c r="F21" s="18">
        <f>71.814-F20</f>
        <v>-7.473</v>
      </c>
      <c r="G21" s="18">
        <v>-66</v>
      </c>
      <c r="H21" s="16">
        <f>C21/C20-1</f>
        <v>-0.314606741573034</v>
      </c>
      <c r="I21" s="16">
        <f>(E21+G21-F21-C21)/C21</f>
        <v>-1.19960109289617</v>
      </c>
      <c r="J21" s="16">
        <f>AVERAGE(I18:I21)</f>
        <v>-0.952485833545</v>
      </c>
      <c r="K21" s="22"/>
    </row>
    <row r="22" ht="20.05" customHeight="1">
      <c r="B22" s="32"/>
      <c r="C22" s="17">
        <v>200</v>
      </c>
      <c r="D22" s="18"/>
      <c r="E22" s="18">
        <v>23</v>
      </c>
      <c r="F22" s="18">
        <f>128.311-F21-F20</f>
        <v>56.497</v>
      </c>
      <c r="G22" s="18">
        <v>78</v>
      </c>
      <c r="H22" s="16">
        <f>C22/C21-1</f>
        <v>0.092896174863388</v>
      </c>
      <c r="I22" s="16">
        <f>(E22+G22-F22-C22)/C22</f>
        <v>-0.777485</v>
      </c>
      <c r="J22" s="16">
        <f>AVERAGE(I19:I22)</f>
        <v>-0.916786802420502</v>
      </c>
      <c r="K22" s="22"/>
    </row>
    <row r="23" ht="20.05" customHeight="1">
      <c r="B23" s="32"/>
      <c r="C23" s="17">
        <f>866.45-SUM(C20:C22)</f>
        <v>216.45</v>
      </c>
      <c r="D23" s="18">
        <v>190</v>
      </c>
      <c r="E23" s="18">
        <f>88.3+0.8-SUM(E20:E22)</f>
        <v>22.1</v>
      </c>
      <c r="F23" s="18">
        <f>146.1-F22-F21-F20</f>
        <v>17.789</v>
      </c>
      <c r="G23" s="18">
        <f>148.33-SUM(G20:G22)</f>
        <v>-19.67</v>
      </c>
      <c r="H23" s="16">
        <f>C23/C22-1</f>
        <v>0.08225</v>
      </c>
      <c r="I23" s="16">
        <f>(E23+G23-F23-C23)/C23</f>
        <v>-1.07095865095865</v>
      </c>
      <c r="J23" s="16">
        <f>AVERAGE(I20:I23)</f>
        <v>-0.919583283341982</v>
      </c>
      <c r="K23" s="22"/>
    </row>
    <row r="24" ht="20.05" customHeight="1">
      <c r="B24" s="33">
        <v>2021</v>
      </c>
      <c r="C24" s="17">
        <v>266.77</v>
      </c>
      <c r="D24" s="18">
        <v>261.9045</v>
      </c>
      <c r="E24" s="18">
        <f>20.6+0.2</f>
        <v>20.8</v>
      </c>
      <c r="F24" s="24">
        <v>51.485</v>
      </c>
      <c r="G24" s="24">
        <v>74.98999999999999</v>
      </c>
      <c r="H24" s="16">
        <f>C24/C23-1</f>
        <v>0.232478632478632</v>
      </c>
      <c r="I24" s="16">
        <f>(E24+G24-F24-C24)/C24</f>
        <v>-0.8339206057652661</v>
      </c>
      <c r="J24" s="16">
        <f>AVERAGE(I21:I24)</f>
        <v>-0.970491337405022</v>
      </c>
      <c r="K24" s="22"/>
    </row>
    <row r="25" ht="20.05" customHeight="1">
      <c r="B25" s="32"/>
      <c r="C25" s="17">
        <f>524.1-C24</f>
        <v>257.33</v>
      </c>
      <c r="D25" s="24">
        <v>266.77</v>
      </c>
      <c r="E25" s="18">
        <f>41.1+0.5-E24</f>
        <v>20.8</v>
      </c>
      <c r="F25" s="18">
        <f>94.769-F24</f>
        <v>43.284</v>
      </c>
      <c r="G25" s="18">
        <f>118.4-G24</f>
        <v>43.41</v>
      </c>
      <c r="H25" s="16">
        <f>C25/C24-1</f>
        <v>-0.0353862878134723</v>
      </c>
      <c r="I25" s="16">
        <f>(E25+G25-F25-C25)/C25</f>
        <v>-0.918680293786189</v>
      </c>
      <c r="J25" s="16">
        <f>AVERAGE(I22:I25)</f>
        <v>-0.900261137627526</v>
      </c>
      <c r="K25" s="22"/>
    </row>
    <row r="26" ht="20.05" customHeight="1">
      <c r="B26" s="32"/>
      <c r="C26" s="17">
        <f>744.4-SUM(C24:C25)</f>
        <v>220.3</v>
      </c>
      <c r="D26" s="24">
        <v>252.1834</v>
      </c>
      <c r="E26" s="18">
        <f>61.5+0.7-SUM(E24:E25)</f>
        <v>20.6</v>
      </c>
      <c r="F26" s="18">
        <f>156.661-F25-F24</f>
        <v>61.892</v>
      </c>
      <c r="G26" s="18">
        <f>175.6-SUM(G24:G25)</f>
        <v>57.2</v>
      </c>
      <c r="H26" s="16">
        <f>C26/C25-1</f>
        <v>-0.143900827730929</v>
      </c>
      <c r="I26" s="16">
        <f>(E26+G26-F26-C26)/C26</f>
        <v>-0.927789378120744</v>
      </c>
      <c r="J26" s="16">
        <f>AVERAGE(I23:I26)</f>
        <v>-0.937837232157712</v>
      </c>
      <c r="K26" s="22"/>
    </row>
    <row r="27" ht="20.05" customHeight="1">
      <c r="B27" s="32"/>
      <c r="C27" s="17">
        <f>1024.5-SUM(C24:C26)</f>
        <v>280.1</v>
      </c>
      <c r="D27" s="24">
        <v>253.345</v>
      </c>
      <c r="E27" s="18">
        <f>81.4+1-SUM(E24:E26)</f>
        <v>20.2</v>
      </c>
      <c r="F27" s="24">
        <f>220.7-SUM(F24:F26)</f>
        <v>64.039</v>
      </c>
      <c r="G27" s="24">
        <f>249-SUM(G24:G26)</f>
        <v>73.40000000000001</v>
      </c>
      <c r="H27" s="16">
        <f>C27/C26-1</f>
        <v>0.271448025419882</v>
      </c>
      <c r="I27" s="16">
        <f>(E27+G27-F27-C27)/C27</f>
        <v>-0.894462691895752</v>
      </c>
      <c r="J27" s="16">
        <f>AVERAGE(I24:I27)</f>
        <v>-0.893713242391988</v>
      </c>
      <c r="K27" s="22"/>
    </row>
    <row r="28" ht="20.05" customHeight="1">
      <c r="B28" s="33">
        <v>2022</v>
      </c>
      <c r="C28" s="17">
        <v>302</v>
      </c>
      <c r="D28" s="24">
        <v>266.095</v>
      </c>
      <c r="E28" s="18">
        <v>19.4</v>
      </c>
      <c r="F28" s="21">
        <v>66</v>
      </c>
      <c r="G28" s="21">
        <v>74</v>
      </c>
      <c r="H28" s="16">
        <f>C28/C27-1</f>
        <v>0.0781863620135666</v>
      </c>
      <c r="I28" s="16">
        <f>(E28+G28-F28-C28)/C28</f>
        <v>-0.909271523178808</v>
      </c>
      <c r="J28" s="16">
        <f>AVERAGE(I25:I28)</f>
        <v>-0.912550971745373</v>
      </c>
      <c r="K28" s="16">
        <v>-0.875971169177046</v>
      </c>
    </row>
    <row r="29" ht="20.05" customHeight="1">
      <c r="B29" s="32"/>
      <c r="C29" s="17"/>
      <c r="D29" s="24">
        <f>'Model'!B5</f>
        <v>292.94</v>
      </c>
      <c r="E29" s="18"/>
      <c r="F29" s="21"/>
      <c r="G29" s="21"/>
      <c r="H29" s="12"/>
      <c r="I29" s="12"/>
      <c r="J29" s="12"/>
      <c r="K29" s="16">
        <f>'Model'!B6</f>
        <v>-0.875971169177046</v>
      </c>
    </row>
    <row r="30" ht="20.05" customHeight="1">
      <c r="B30" s="32"/>
      <c r="C30" s="17"/>
      <c r="D30" s="18">
        <f>'Model'!C5</f>
        <v>313.4458</v>
      </c>
      <c r="E30" s="22"/>
      <c r="F30" s="22"/>
      <c r="G30" s="21"/>
      <c r="H30" s="12"/>
      <c r="I30" s="12"/>
      <c r="J30" s="12"/>
      <c r="K30" s="22"/>
    </row>
    <row r="31" ht="20.05" customHeight="1">
      <c r="B31" s="32"/>
      <c r="C31" s="17"/>
      <c r="D31" s="18">
        <f>'Model'!D5</f>
        <v>341.655922</v>
      </c>
      <c r="E31" s="18">
        <f>SUM(C23:C28)</f>
        <v>1542.95</v>
      </c>
      <c r="F31" s="18">
        <f>SUM(D23:D28)</f>
        <v>1490.2979</v>
      </c>
      <c r="G31" s="21"/>
      <c r="H31" s="12"/>
      <c r="I31" s="12"/>
      <c r="J31" s="12"/>
      <c r="K31" s="22"/>
    </row>
    <row r="32" ht="20.05" customHeight="1">
      <c r="B32" s="33">
        <v>2023</v>
      </c>
      <c r="C32" s="17"/>
      <c r="D32" s="18">
        <f>'Model'!E5</f>
        <v>338.23936278</v>
      </c>
      <c r="E32" s="18"/>
      <c r="F32" s="21"/>
      <c r="G32" s="21"/>
      <c r="H32" s="12"/>
      <c r="I32" s="12"/>
      <c r="J32" s="12"/>
      <c r="K32" s="2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44531" style="34" customWidth="1"/>
    <col min="2" max="2" width="12.3516" style="34" customWidth="1"/>
    <col min="3" max="15" width="10.7812" style="34" customWidth="1"/>
    <col min="16" max="16384" width="16.3516" style="34" customWidth="1"/>
  </cols>
  <sheetData>
    <row r="1" ht="22.85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8</v>
      </c>
      <c r="E3" t="s" s="5">
        <v>49</v>
      </c>
      <c r="F3" t="s" s="5">
        <v>50</v>
      </c>
      <c r="G3" t="s" s="5">
        <v>11</v>
      </c>
      <c r="H3" t="s" s="5">
        <v>27</v>
      </c>
      <c r="I3" t="s" s="5">
        <v>10</v>
      </c>
      <c r="J3" t="s" s="5">
        <v>51</v>
      </c>
      <c r="K3" t="s" s="5">
        <v>47</v>
      </c>
      <c r="L3" t="s" s="5">
        <v>37</v>
      </c>
      <c r="M3" t="s" s="5">
        <v>52</v>
      </c>
      <c r="N3" t="s" s="5">
        <v>37</v>
      </c>
      <c r="O3" s="35"/>
    </row>
    <row r="4" ht="20.25" customHeight="1">
      <c r="B4" s="28">
        <v>2016</v>
      </c>
      <c r="C4" s="29">
        <v>261</v>
      </c>
      <c r="D4" s="30">
        <v>79</v>
      </c>
      <c r="E4" s="30">
        <v>76</v>
      </c>
      <c r="F4" s="30"/>
      <c r="G4" s="30"/>
      <c r="H4" s="30"/>
      <c r="I4" s="30">
        <v>-43.32925</v>
      </c>
      <c r="J4" s="30">
        <f>D4+E4</f>
        <v>155</v>
      </c>
      <c r="K4" s="30"/>
      <c r="L4" s="30"/>
      <c r="M4" s="30">
        <f>-I4</f>
        <v>43.32925</v>
      </c>
      <c r="N4" s="30"/>
      <c r="O4" s="30">
        <v>1</v>
      </c>
    </row>
    <row r="5" ht="20.05" customHeight="1">
      <c r="B5" s="32"/>
      <c r="C5" s="17">
        <v>385.5</v>
      </c>
      <c r="D5" s="18">
        <v>90.5</v>
      </c>
      <c r="E5" s="18">
        <v>-21.5</v>
      </c>
      <c r="F5" s="18"/>
      <c r="G5" s="18"/>
      <c r="H5" s="18"/>
      <c r="I5" s="18">
        <v>-43.32925</v>
      </c>
      <c r="J5" s="18">
        <f>D5+E5</f>
        <v>69</v>
      </c>
      <c r="K5" s="18"/>
      <c r="L5" s="18"/>
      <c r="M5" s="18">
        <f>-I5+M4</f>
        <v>86.6585</v>
      </c>
      <c r="N5" s="18"/>
      <c r="O5" s="18">
        <f>1+O4</f>
        <v>2</v>
      </c>
    </row>
    <row r="6" ht="20.05" customHeight="1">
      <c r="B6" s="32"/>
      <c r="C6" s="17">
        <v>385.5</v>
      </c>
      <c r="D6" s="18">
        <v>90.5</v>
      </c>
      <c r="E6" s="18">
        <v>-21.5</v>
      </c>
      <c r="F6" s="18"/>
      <c r="G6" s="18"/>
      <c r="H6" s="18"/>
      <c r="I6" s="18">
        <v>-43.32925</v>
      </c>
      <c r="J6" s="18">
        <f>D6+E6</f>
        <v>69</v>
      </c>
      <c r="K6" s="18"/>
      <c r="L6" s="18"/>
      <c r="M6" s="18">
        <f>-I6+M5</f>
        <v>129.98775</v>
      </c>
      <c r="N6" s="18"/>
      <c r="O6" s="18">
        <f>1+O5</f>
        <v>3</v>
      </c>
    </row>
    <row r="7" ht="20.05" customHeight="1">
      <c r="B7" s="32"/>
      <c r="C7" s="17">
        <v>241</v>
      </c>
      <c r="D7" s="18">
        <v>-30</v>
      </c>
      <c r="E7" s="18">
        <v>133</v>
      </c>
      <c r="F7" s="18"/>
      <c r="G7" s="18"/>
      <c r="H7" s="18"/>
      <c r="I7" s="18">
        <v>-43.32925</v>
      </c>
      <c r="J7" s="18">
        <f>D7+E7</f>
        <v>103</v>
      </c>
      <c r="K7" s="18"/>
      <c r="L7" s="18"/>
      <c r="M7" s="18">
        <f>-I7+M6</f>
        <v>173.317</v>
      </c>
      <c r="N7" s="18"/>
      <c r="O7" s="18">
        <f>1+O6</f>
        <v>4</v>
      </c>
    </row>
    <row r="8" ht="20.05" customHeight="1">
      <c r="B8" s="33">
        <v>2017</v>
      </c>
      <c r="C8" s="17">
        <v>233</v>
      </c>
      <c r="D8" s="18">
        <v>49</v>
      </c>
      <c r="E8" s="18">
        <v>-45</v>
      </c>
      <c r="F8" s="18"/>
      <c r="G8" s="18"/>
      <c r="H8" s="18"/>
      <c r="I8" s="18">
        <v>-94</v>
      </c>
      <c r="J8" s="18">
        <f>D8+E8</f>
        <v>4</v>
      </c>
      <c r="K8" s="18">
        <f>AVERAGE(J5:J8)</f>
        <v>61.25</v>
      </c>
      <c r="L8" s="18"/>
      <c r="M8" s="18">
        <f>-I8+M7</f>
        <v>267.317</v>
      </c>
      <c r="N8" s="18"/>
      <c r="O8" s="18">
        <f>1+O7</f>
        <v>5</v>
      </c>
    </row>
    <row r="9" ht="20.05" customHeight="1">
      <c r="B9" s="32"/>
      <c r="C9" s="17">
        <v>229</v>
      </c>
      <c r="D9" s="18">
        <v>21</v>
      </c>
      <c r="E9" s="18">
        <v>-6</v>
      </c>
      <c r="F9" s="18"/>
      <c r="G9" s="18"/>
      <c r="H9" s="18"/>
      <c r="I9" s="18">
        <v>27</v>
      </c>
      <c r="J9" s="18">
        <f>D9+E9</f>
        <v>15</v>
      </c>
      <c r="K9" s="18">
        <f>AVERAGE(J6:J9)</f>
        <v>47.75</v>
      </c>
      <c r="L9" s="18"/>
      <c r="M9" s="18">
        <f>-I9+M8</f>
        <v>240.317</v>
      </c>
      <c r="N9" s="18"/>
      <c r="O9" s="18">
        <f>1+O8</f>
        <v>6</v>
      </c>
    </row>
    <row r="10" ht="20.05" customHeight="1">
      <c r="B10" s="32"/>
      <c r="C10" s="17">
        <v>239</v>
      </c>
      <c r="D10" s="18">
        <v>-72.09999999999999</v>
      </c>
      <c r="E10" s="18">
        <v>-87</v>
      </c>
      <c r="F10" s="18"/>
      <c r="G10" s="18"/>
      <c r="H10" s="18"/>
      <c r="I10" s="18">
        <v>144</v>
      </c>
      <c r="J10" s="18">
        <f>D10+E10</f>
        <v>-159.1</v>
      </c>
      <c r="K10" s="18">
        <f>AVERAGE(J7:J10)</f>
        <v>-9.275</v>
      </c>
      <c r="L10" s="18"/>
      <c r="M10" s="18">
        <f>-I10+M9</f>
        <v>96.31699999999999</v>
      </c>
      <c r="N10" s="18"/>
      <c r="O10" s="18">
        <f>1+O9</f>
        <v>7</v>
      </c>
    </row>
    <row r="11" ht="20.05" customHeight="1">
      <c r="B11" s="32"/>
      <c r="C11" s="17">
        <v>268</v>
      </c>
      <c r="D11" s="18">
        <v>48.1</v>
      </c>
      <c r="E11" s="18">
        <v>34</v>
      </c>
      <c r="F11" s="18"/>
      <c r="G11" s="18"/>
      <c r="H11" s="18"/>
      <c r="I11" s="18">
        <v>-5</v>
      </c>
      <c r="J11" s="18">
        <f>D11+E11</f>
        <v>82.09999999999999</v>
      </c>
      <c r="K11" s="18">
        <f>AVERAGE(J8:J11)</f>
        <v>-14.5</v>
      </c>
      <c r="L11" s="18"/>
      <c r="M11" s="18">
        <f>-I11+M10</f>
        <v>101.317</v>
      </c>
      <c r="N11" s="18"/>
      <c r="O11" s="18">
        <f>1+O10</f>
        <v>8</v>
      </c>
    </row>
    <row r="12" ht="20.05" customHeight="1">
      <c r="B12" s="33">
        <v>2018</v>
      </c>
      <c r="C12" s="17">
        <v>306</v>
      </c>
      <c r="D12" s="18">
        <v>64</v>
      </c>
      <c r="E12" s="18">
        <v>-104</v>
      </c>
      <c r="F12" s="18"/>
      <c r="G12" s="18"/>
      <c r="H12" s="18"/>
      <c r="I12" s="18">
        <v>-2</v>
      </c>
      <c r="J12" s="18">
        <f>D12+E12</f>
        <v>-40</v>
      </c>
      <c r="K12" s="18">
        <f>AVERAGE(J9:J12)</f>
        <v>-25.5</v>
      </c>
      <c r="L12" s="18"/>
      <c r="M12" s="18">
        <f>-I12+M11</f>
        <v>103.317</v>
      </c>
      <c r="N12" s="18"/>
      <c r="O12" s="18">
        <f>1+O11</f>
        <v>9</v>
      </c>
    </row>
    <row r="13" ht="20.05" customHeight="1">
      <c r="B13" s="32"/>
      <c r="C13" s="17">
        <v>263</v>
      </c>
      <c r="D13" s="18">
        <v>0</v>
      </c>
      <c r="E13" s="18">
        <v>-12</v>
      </c>
      <c r="F13" s="18"/>
      <c r="G13" s="18"/>
      <c r="H13" s="18"/>
      <c r="I13" s="18">
        <v>104</v>
      </c>
      <c r="J13" s="18">
        <f>D13+E13</f>
        <v>-12</v>
      </c>
      <c r="K13" s="18">
        <f>AVERAGE(J10:J13)</f>
        <v>-32.25</v>
      </c>
      <c r="L13" s="18"/>
      <c r="M13" s="18">
        <f>-I13+M12</f>
        <v>-0.6830000000000001</v>
      </c>
      <c r="N13" s="18"/>
      <c r="O13" s="18">
        <f>1+O12</f>
        <v>10</v>
      </c>
    </row>
    <row r="14" ht="20.05" customHeight="1">
      <c r="B14" s="32"/>
      <c r="C14" s="17">
        <v>238</v>
      </c>
      <c r="D14" s="18">
        <v>-20</v>
      </c>
      <c r="E14" s="18">
        <v>4</v>
      </c>
      <c r="F14" s="18"/>
      <c r="G14" s="18"/>
      <c r="H14" s="18"/>
      <c r="I14" s="18">
        <v>6</v>
      </c>
      <c r="J14" s="18">
        <f>D14+E14</f>
        <v>-16</v>
      </c>
      <c r="K14" s="18">
        <f>AVERAGE(J11:J14)</f>
        <v>3.525</v>
      </c>
      <c r="L14" s="18"/>
      <c r="M14" s="18">
        <f>-I14+M13</f>
        <v>-6.683</v>
      </c>
      <c r="N14" s="18"/>
      <c r="O14" s="18">
        <f>1+O13</f>
        <v>11</v>
      </c>
    </row>
    <row r="15" ht="20.05" customHeight="1">
      <c r="B15" s="32"/>
      <c r="C15" s="17">
        <v>262</v>
      </c>
      <c r="D15" s="18">
        <v>-3</v>
      </c>
      <c r="E15" s="18">
        <v>-22</v>
      </c>
      <c r="F15" s="18"/>
      <c r="G15" s="18"/>
      <c r="H15" s="18"/>
      <c r="I15" s="18">
        <v>14</v>
      </c>
      <c r="J15" s="18">
        <f>D15+E15</f>
        <v>-25</v>
      </c>
      <c r="K15" s="18">
        <f>AVERAGE(J12:J15)</f>
        <v>-23.25</v>
      </c>
      <c r="L15" s="18"/>
      <c r="M15" s="18">
        <f>-(I15-F15)+M14</f>
        <v>-20.683</v>
      </c>
      <c r="N15" s="18"/>
      <c r="O15" s="18">
        <f>1+O14</f>
        <v>12</v>
      </c>
    </row>
    <row r="16" ht="20.05" customHeight="1">
      <c r="B16" s="33">
        <v>2019</v>
      </c>
      <c r="C16" s="17">
        <v>315</v>
      </c>
      <c r="D16" s="18">
        <v>90</v>
      </c>
      <c r="E16" s="18">
        <v>-7.5</v>
      </c>
      <c r="F16" s="18">
        <v>-0.5</v>
      </c>
      <c r="G16" s="18"/>
      <c r="H16" s="18"/>
      <c r="I16" s="18">
        <v>-90</v>
      </c>
      <c r="J16" s="18">
        <f>D16+E16</f>
        <v>82.5</v>
      </c>
      <c r="K16" s="18">
        <f>AVERAGE(J13:J16)</f>
        <v>7.375</v>
      </c>
      <c r="L16" s="18"/>
      <c r="M16" s="18">
        <f>-(I16-F16)+M15</f>
        <v>68.81699999999999</v>
      </c>
      <c r="N16" s="18"/>
      <c r="O16" s="18">
        <f>1+O15</f>
        <v>13</v>
      </c>
    </row>
    <row r="17" ht="20.05" customHeight="1">
      <c r="B17" s="32"/>
      <c r="C17" s="17">
        <v>262</v>
      </c>
      <c r="D17" s="18">
        <v>-2</v>
      </c>
      <c r="E17" s="18">
        <v>3.8</v>
      </c>
      <c r="F17" s="18">
        <v>-0.5</v>
      </c>
      <c r="G17" s="18"/>
      <c r="H17" s="18"/>
      <c r="I17" s="18">
        <v>4</v>
      </c>
      <c r="J17" s="18">
        <f>D17+E17</f>
        <v>1.8</v>
      </c>
      <c r="K17" s="18">
        <f>AVERAGE(J14:J17)</f>
        <v>10.825</v>
      </c>
      <c r="L17" s="18"/>
      <c r="M17" s="18">
        <f>-(I17-F17)+M16</f>
        <v>64.31699999999999</v>
      </c>
      <c r="N17" s="18"/>
      <c r="O17" s="18">
        <f>1+O16</f>
        <v>14</v>
      </c>
    </row>
    <row r="18" ht="20.05" customHeight="1">
      <c r="B18" s="32"/>
      <c r="C18" s="17">
        <v>217</v>
      </c>
      <c r="D18" s="18">
        <v>32</v>
      </c>
      <c r="E18" s="18">
        <v>1.7</v>
      </c>
      <c r="F18" s="18">
        <v>-0.5</v>
      </c>
      <c r="G18" s="18"/>
      <c r="H18" s="18"/>
      <c r="I18" s="18">
        <v>-29</v>
      </c>
      <c r="J18" s="18">
        <f>D18+E18</f>
        <v>33.7</v>
      </c>
      <c r="K18" s="18">
        <f>AVERAGE(J15:J18)</f>
        <v>23.25</v>
      </c>
      <c r="L18" s="18"/>
      <c r="M18" s="18">
        <f>-(I18-F18)+M17</f>
        <v>92.81699999999999</v>
      </c>
      <c r="N18" s="18"/>
      <c r="O18" s="18">
        <f>1+O17</f>
        <v>15</v>
      </c>
    </row>
    <row r="19" ht="20.05" customHeight="1">
      <c r="B19" s="32"/>
      <c r="C19" s="17">
        <v>277</v>
      </c>
      <c r="D19" s="18">
        <v>39</v>
      </c>
      <c r="E19" s="18">
        <v>-6</v>
      </c>
      <c r="F19" s="18">
        <v>-0.5</v>
      </c>
      <c r="G19" s="18"/>
      <c r="H19" s="18"/>
      <c r="I19" s="18">
        <f>-122-SUM(I16:I18)</f>
        <v>-7</v>
      </c>
      <c r="J19" s="18">
        <f>D19+E19</f>
        <v>33</v>
      </c>
      <c r="K19" s="18">
        <f>AVERAGE(J16:J19)</f>
        <v>37.75</v>
      </c>
      <c r="L19" s="18"/>
      <c r="M19" s="18">
        <f>-(I19-F19)+M18</f>
        <v>99.31699999999999</v>
      </c>
      <c r="N19" s="18"/>
      <c r="O19" s="18">
        <f>1+O18</f>
        <v>16</v>
      </c>
    </row>
    <row r="20" ht="20.05" customHeight="1">
      <c r="B20" s="33">
        <v>2020</v>
      </c>
      <c r="C20" s="17">
        <v>256</v>
      </c>
      <c r="D20" s="18">
        <v>92</v>
      </c>
      <c r="E20" s="18">
        <v>-2.9</v>
      </c>
      <c r="F20" s="18">
        <v>-1</v>
      </c>
      <c r="G20" s="18"/>
      <c r="H20" s="18"/>
      <c r="I20" s="18">
        <v>-102</v>
      </c>
      <c r="J20" s="18">
        <f>D20+E20</f>
        <v>89.09999999999999</v>
      </c>
      <c r="K20" s="18">
        <f>AVERAGE(J17:J20)</f>
        <v>39.4</v>
      </c>
      <c r="L20" s="18"/>
      <c r="M20" s="18">
        <f>-(I20-F20)+M19</f>
        <v>200.317</v>
      </c>
      <c r="N20" s="18"/>
      <c r="O20" s="18">
        <f>1+O19</f>
        <v>17</v>
      </c>
    </row>
    <row r="21" ht="20.05" customHeight="1">
      <c r="B21" s="32"/>
      <c r="C21" s="17">
        <v>192</v>
      </c>
      <c r="D21" s="18">
        <v>-59</v>
      </c>
      <c r="E21" s="18">
        <v>-0.7</v>
      </c>
      <c r="F21" s="18">
        <v>-1</v>
      </c>
      <c r="G21" s="18"/>
      <c r="H21" s="18"/>
      <c r="I21" s="18">
        <v>61</v>
      </c>
      <c r="J21" s="18">
        <f>D21+E21</f>
        <v>-59.7</v>
      </c>
      <c r="K21" s="18">
        <f>AVERAGE(J18:J21)</f>
        <v>24.025</v>
      </c>
      <c r="L21" s="18"/>
      <c r="M21" s="18">
        <f>-(I21-F21)+M20</f>
        <v>138.317</v>
      </c>
      <c r="N21" s="18"/>
      <c r="O21" s="18">
        <f>1+O20</f>
        <v>18</v>
      </c>
    </row>
    <row r="22" ht="20.05" customHeight="1">
      <c r="B22" s="32"/>
      <c r="C22" s="17">
        <v>204</v>
      </c>
      <c r="D22" s="18">
        <v>106</v>
      </c>
      <c r="E22" s="18">
        <v>-0.4</v>
      </c>
      <c r="F22" s="18">
        <v>-1</v>
      </c>
      <c r="G22" s="18"/>
      <c r="H22" s="18"/>
      <c r="I22" s="18">
        <v>-105</v>
      </c>
      <c r="J22" s="18">
        <f>D22+E22</f>
        <v>105.6</v>
      </c>
      <c r="K22" s="18">
        <f>AVERAGE(J19:J22)</f>
        <v>42</v>
      </c>
      <c r="L22" s="18"/>
      <c r="M22" s="18">
        <f>-(I22-F22)+M21</f>
        <v>242.317</v>
      </c>
      <c r="N22" s="18"/>
      <c r="O22" s="18">
        <f>1+O21</f>
        <v>19</v>
      </c>
    </row>
    <row r="23" ht="20.05" customHeight="1">
      <c r="B23" s="32"/>
      <c r="C23" s="17">
        <f>902.06-SUM(C20:C22)</f>
        <v>250.06</v>
      </c>
      <c r="D23" s="18">
        <f>172.82-SUM(D20:D22)</f>
        <v>33.82</v>
      </c>
      <c r="E23" s="18">
        <f>-7.9-SUM(E20:E22)</f>
        <v>-3.9</v>
      </c>
      <c r="F23" s="18">
        <v>-1</v>
      </c>
      <c r="G23" s="18"/>
      <c r="H23" s="18"/>
      <c r="I23" s="18">
        <f>-186.8-SUM(I20:I22)</f>
        <v>-40.8</v>
      </c>
      <c r="J23" s="18">
        <f>D23+E23</f>
        <v>29.92</v>
      </c>
      <c r="K23" s="18">
        <f>AVERAGE(J20:J23)</f>
        <v>41.23</v>
      </c>
      <c r="L23" s="18"/>
      <c r="M23" s="18">
        <f>-(I23-F23)+M22</f>
        <v>282.117</v>
      </c>
      <c r="N23" s="18"/>
      <c r="O23" s="18">
        <f>1+O22</f>
        <v>20</v>
      </c>
    </row>
    <row r="24" ht="20.05" customHeight="1">
      <c r="B24" s="33">
        <v>2021</v>
      </c>
      <c r="C24" s="17">
        <v>195.8</v>
      </c>
      <c r="D24" s="18">
        <v>-25.96</v>
      </c>
      <c r="E24" s="18">
        <v>43.48</v>
      </c>
      <c r="F24" s="18">
        <v>-0.967</v>
      </c>
      <c r="G24" s="18">
        <f>-5.714-F24</f>
        <v>-4.747</v>
      </c>
      <c r="H24" s="18"/>
      <c r="I24" s="18">
        <v>-5.7</v>
      </c>
      <c r="J24" s="18">
        <f>D24+E24</f>
        <v>17.52</v>
      </c>
      <c r="K24" s="18">
        <f>AVERAGE(J21:J24)</f>
        <v>23.335</v>
      </c>
      <c r="L24" s="18"/>
      <c r="M24" s="18">
        <f>-(G24+H24)+M23</f>
        <v>286.864</v>
      </c>
      <c r="N24" s="18"/>
      <c r="O24" s="18">
        <f>1+O23</f>
        <v>21</v>
      </c>
    </row>
    <row r="25" ht="20.05" customHeight="1">
      <c r="B25" s="32"/>
      <c r="C25" s="17">
        <f>488.4-C24</f>
        <v>292.6</v>
      </c>
      <c r="D25" s="18">
        <f>14.8-D24</f>
        <v>40.76</v>
      </c>
      <c r="E25" s="18">
        <f>93.4-E24</f>
        <v>49.92</v>
      </c>
      <c r="F25" s="18">
        <f>-1.946-F24</f>
        <v>-0.979</v>
      </c>
      <c r="G25" s="18">
        <f>-75.95-F25-F24-G24</f>
        <v>-69.25700000000001</v>
      </c>
      <c r="H25" s="18"/>
      <c r="I25" s="18">
        <f>-76-I24</f>
        <v>-70.3</v>
      </c>
      <c r="J25" s="18">
        <f>D25+E25</f>
        <v>90.68000000000001</v>
      </c>
      <c r="K25" s="18">
        <f>AVERAGE(J22:J25)</f>
        <v>60.93</v>
      </c>
      <c r="L25" s="18"/>
      <c r="M25" s="18">
        <f>-(G25+H25)+M24</f>
        <v>356.121</v>
      </c>
      <c r="N25" s="18"/>
      <c r="O25" s="18">
        <f>1+O24</f>
        <v>22</v>
      </c>
    </row>
    <row r="26" ht="20.05" customHeight="1">
      <c r="B26" s="32"/>
      <c r="C26" s="17">
        <f>751-SUM(C24:C25)</f>
        <v>262.6</v>
      </c>
      <c r="D26" s="18">
        <f>53.3-SUM(D24:D25)</f>
        <v>38.5</v>
      </c>
      <c r="E26" s="18">
        <f>89-SUM(E24:E25)</f>
        <v>-4.4</v>
      </c>
      <c r="F26" s="18">
        <f>-2.938-F25-F24</f>
        <v>-0.992</v>
      </c>
      <c r="G26" s="18">
        <f>-146.878-F26-F25-F24-G25-G24-H26</f>
        <v>-64.672</v>
      </c>
      <c r="H26" s="18">
        <v>-5.264</v>
      </c>
      <c r="I26" s="18">
        <f>-146.9-SUM(I24:I25)</f>
        <v>-70.90000000000001</v>
      </c>
      <c r="J26" s="18">
        <f>D26+E26</f>
        <v>34.1</v>
      </c>
      <c r="K26" s="18">
        <f>AVERAGE(J23:J26)</f>
        <v>43.055</v>
      </c>
      <c r="L26" s="18"/>
      <c r="M26" s="18">
        <f>-(G26+H26)+M25</f>
        <v>426.057</v>
      </c>
      <c r="N26" s="18"/>
      <c r="O26" s="18">
        <f>1+O25</f>
        <v>23</v>
      </c>
    </row>
    <row r="27" ht="20.05" customHeight="1">
      <c r="B27" s="32"/>
      <c r="C27" s="17">
        <f>1048.8-SUM(C24:C26)</f>
        <v>297.8</v>
      </c>
      <c r="D27" s="18">
        <f>97.6-SUM(D24:D26)</f>
        <v>44.3</v>
      </c>
      <c r="E27" s="18">
        <f>105.4-SUM(E24:E26)</f>
        <v>16.4</v>
      </c>
      <c r="F27" s="18">
        <f>-3.9-SUM(F24:F26)</f>
        <v>-0.962</v>
      </c>
      <c r="G27" s="18">
        <f>I27-H27-F27</f>
        <v>-10.776</v>
      </c>
      <c r="H27" s="18">
        <f>-5.326-SUM(H24:H26)</f>
        <v>-0.062</v>
      </c>
      <c r="I27" s="18">
        <f>-158.7-SUM(I24:I26)</f>
        <v>-11.8</v>
      </c>
      <c r="J27" s="18">
        <f>D27+E27</f>
        <v>60.7</v>
      </c>
      <c r="K27" s="18">
        <f>AVERAGE(J24:J27)</f>
        <v>50.75</v>
      </c>
      <c r="L27" s="18"/>
      <c r="M27" s="18">
        <f>-(G27+H27)+M26</f>
        <v>436.895</v>
      </c>
      <c r="N27" s="18"/>
      <c r="O27" s="18">
        <f>1+O26</f>
        <v>24</v>
      </c>
    </row>
    <row r="28" ht="20.05" customHeight="1">
      <c r="B28" s="33">
        <v>2022</v>
      </c>
      <c r="C28" s="17">
        <v>289</v>
      </c>
      <c r="D28" s="24">
        <v>54.2</v>
      </c>
      <c r="E28" s="18">
        <v>1.8</v>
      </c>
      <c r="F28" s="18">
        <v>-1</v>
      </c>
      <c r="G28" s="18">
        <f>-116.6-F28</f>
        <v>-115.6</v>
      </c>
      <c r="H28" s="18"/>
      <c r="I28" s="18">
        <v>-116.6</v>
      </c>
      <c r="J28" s="18">
        <f>D28+E28</f>
        <v>56</v>
      </c>
      <c r="K28" s="18">
        <f>AVERAGE(J25:J28)</f>
        <v>60.37</v>
      </c>
      <c r="L28" s="18">
        <v>35.0909631496293</v>
      </c>
      <c r="M28" s="18">
        <f>-(G28+H28)+M27</f>
        <v>552.495</v>
      </c>
      <c r="N28" s="18">
        <v>577.258852598517</v>
      </c>
      <c r="O28" s="18">
        <f>1+O27</f>
        <v>25</v>
      </c>
    </row>
    <row r="29" ht="20.05" customHeight="1">
      <c r="B29" s="32"/>
      <c r="C29" s="17"/>
      <c r="D29" s="16"/>
      <c r="E29" s="18"/>
      <c r="F29" s="16"/>
      <c r="G29" s="18"/>
      <c r="H29" s="18"/>
      <c r="I29" s="18"/>
      <c r="J29" s="18"/>
      <c r="K29" s="22"/>
      <c r="L29" s="18">
        <f>SUM('Model'!B8:E9)/4</f>
        <v>39.4839847637358</v>
      </c>
      <c r="M29" s="22"/>
      <c r="N29" s="18">
        <f>'Model'!E34</f>
        <v>710.430939054943</v>
      </c>
      <c r="O29" s="18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17969" style="36" customWidth="1"/>
    <col min="2" max="2" width="12.8281" style="36" customWidth="1"/>
    <col min="3" max="5" width="11.3125" style="36" customWidth="1"/>
    <col min="6" max="11" width="11.0078" style="36" customWidth="1"/>
    <col min="12" max="16384" width="16.3516" style="36" customWidth="1"/>
  </cols>
  <sheetData>
    <row r="1" ht="27.65" customHeight="1">
      <c r="B1" t="s" s="2">
        <v>22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53</v>
      </c>
      <c r="D2" t="s" s="5">
        <v>54</v>
      </c>
      <c r="E2" t="s" s="5">
        <v>23</v>
      </c>
      <c r="F2" t="s" s="5">
        <v>24</v>
      </c>
      <c r="G2" t="s" s="5">
        <v>11</v>
      </c>
      <c r="H2" t="s" s="5">
        <v>14</v>
      </c>
      <c r="I2" t="s" s="5">
        <v>55</v>
      </c>
      <c r="J2" t="s" s="5">
        <v>56</v>
      </c>
      <c r="K2" t="s" s="5">
        <v>37</v>
      </c>
    </row>
    <row r="3" ht="20.25" customHeight="1">
      <c r="B3" s="28">
        <v>2018</v>
      </c>
      <c r="C3" s="29">
        <v>82</v>
      </c>
      <c r="D3" s="30">
        <v>2650</v>
      </c>
      <c r="E3" s="30">
        <f>D3-C3</f>
        <v>2568</v>
      </c>
      <c r="F3" s="30"/>
      <c r="G3" s="30">
        <v>1606</v>
      </c>
      <c r="H3" s="30">
        <v>1044</v>
      </c>
      <c r="I3" s="30">
        <f>G3+H3-C3-E3</f>
        <v>0</v>
      </c>
      <c r="J3" s="30">
        <f>C3-G3</f>
        <v>-1524</v>
      </c>
      <c r="K3" s="30"/>
    </row>
    <row r="4" ht="20.05" customHeight="1">
      <c r="B4" s="32"/>
      <c r="C4" s="17">
        <v>175</v>
      </c>
      <c r="D4" s="18">
        <v>2830</v>
      </c>
      <c r="E4" s="18">
        <f>D4-C4</f>
        <v>2655</v>
      </c>
      <c r="F4" s="18"/>
      <c r="G4" s="18">
        <v>1691</v>
      </c>
      <c r="H4" s="18">
        <v>1139</v>
      </c>
      <c r="I4" s="18">
        <f>G4+H4-C4-E4</f>
        <v>0</v>
      </c>
      <c r="J4" s="18">
        <f>C4-G4</f>
        <v>-1516</v>
      </c>
      <c r="K4" s="18"/>
    </row>
    <row r="5" ht="20.05" customHeight="1">
      <c r="B5" s="32"/>
      <c r="C5" s="17">
        <v>163</v>
      </c>
      <c r="D5" s="18">
        <v>2935</v>
      </c>
      <c r="E5" s="18">
        <f>D5-C5</f>
        <v>2772</v>
      </c>
      <c r="F5" s="18"/>
      <c r="G5" s="18">
        <v>1695</v>
      </c>
      <c r="H5" s="18">
        <v>1240</v>
      </c>
      <c r="I5" s="18">
        <f>G5+H5-C5-E5</f>
        <v>0</v>
      </c>
      <c r="J5" s="18">
        <f>C5-G5</f>
        <v>-1532</v>
      </c>
      <c r="K5" s="18"/>
    </row>
    <row r="6" ht="20.05" customHeight="1">
      <c r="B6" s="32"/>
      <c r="C6" s="17">
        <v>152</v>
      </c>
      <c r="D6" s="18">
        <v>2965</v>
      </c>
      <c r="E6" s="18">
        <f>D6-C6</f>
        <v>2813</v>
      </c>
      <c r="F6" s="18">
        <f>1764</f>
        <v>1764</v>
      </c>
      <c r="G6" s="18">
        <v>1730</v>
      </c>
      <c r="H6" s="18">
        <v>1235</v>
      </c>
      <c r="I6" s="18">
        <f>G6+H6-C6-E6</f>
        <v>0</v>
      </c>
      <c r="J6" s="18">
        <f>C6-G6</f>
        <v>-1578</v>
      </c>
      <c r="K6" s="18"/>
    </row>
    <row r="7" ht="20.05" customHeight="1">
      <c r="B7" s="33">
        <v>2019</v>
      </c>
      <c r="C7" s="17">
        <v>144</v>
      </c>
      <c r="D7" s="18">
        <v>2951</v>
      </c>
      <c r="E7" s="18">
        <f>D7-C7</f>
        <v>2807</v>
      </c>
      <c r="F7" s="18">
        <f>F6+'Sales'!E16</f>
        <v>1787</v>
      </c>
      <c r="G7" s="18">
        <v>1669</v>
      </c>
      <c r="H7" s="18">
        <v>1282</v>
      </c>
      <c r="I7" s="18">
        <f>G7+H7-C7-E7</f>
        <v>0</v>
      </c>
      <c r="J7" s="18">
        <f>C7-G7</f>
        <v>-1525</v>
      </c>
      <c r="K7" s="18"/>
    </row>
    <row r="8" ht="20.05" customHeight="1">
      <c r="B8" s="32"/>
      <c r="C8" s="17">
        <v>149</v>
      </c>
      <c r="D8" s="18">
        <v>3003</v>
      </c>
      <c r="E8" s="18">
        <f>D8-C8</f>
        <v>2854</v>
      </c>
      <c r="F8" s="18">
        <f>F7+'Sales'!E17</f>
        <v>1809</v>
      </c>
      <c r="G8" s="18">
        <v>1676</v>
      </c>
      <c r="H8" s="18">
        <v>1327</v>
      </c>
      <c r="I8" s="18">
        <f>G8+H8-C8-E8</f>
        <v>0</v>
      </c>
      <c r="J8" s="18">
        <f>C8-G8</f>
        <v>-1527</v>
      </c>
      <c r="K8" s="18"/>
    </row>
    <row r="9" ht="20.05" customHeight="1">
      <c r="B9" s="32"/>
      <c r="C9" s="17">
        <v>154</v>
      </c>
      <c r="D9" s="18">
        <v>3070</v>
      </c>
      <c r="E9" s="18">
        <f>D9-C9</f>
        <v>2916</v>
      </c>
      <c r="F9" s="18">
        <f>F8+'Sales'!E18</f>
        <v>1832</v>
      </c>
      <c r="G9" s="18">
        <v>1696</v>
      </c>
      <c r="H9" s="18">
        <v>1374</v>
      </c>
      <c r="I9" s="18">
        <f>G9+H9-C9-E9</f>
        <v>0</v>
      </c>
      <c r="J9" s="18">
        <f>C9-G9</f>
        <v>-1542</v>
      </c>
      <c r="K9" s="18"/>
    </row>
    <row r="10" ht="20.05" customHeight="1">
      <c r="B10" s="32"/>
      <c r="C10" s="17">
        <v>180</v>
      </c>
      <c r="D10" s="18">
        <v>3062</v>
      </c>
      <c r="E10" s="18">
        <f>D10-C10</f>
        <v>2882</v>
      </c>
      <c r="F10" s="18">
        <f>1853</f>
        <v>1853</v>
      </c>
      <c r="G10" s="18">
        <v>1677</v>
      </c>
      <c r="H10" s="18">
        <v>1385</v>
      </c>
      <c r="I10" s="18">
        <f>G10+H10-C10-E10</f>
        <v>0</v>
      </c>
      <c r="J10" s="18">
        <f>C10-G10</f>
        <v>-1497</v>
      </c>
      <c r="K10" s="18"/>
    </row>
    <row r="11" ht="20.05" customHeight="1">
      <c r="B11" s="33">
        <v>2020</v>
      </c>
      <c r="C11" s="17">
        <v>149</v>
      </c>
      <c r="D11" s="18">
        <v>3084</v>
      </c>
      <c r="E11" s="18">
        <f>D11-C11</f>
        <v>2935</v>
      </c>
      <c r="F11" s="18">
        <f>F10+'Sales'!E20</f>
        <v>1875</v>
      </c>
      <c r="G11" s="18">
        <v>1541</v>
      </c>
      <c r="H11" s="18">
        <v>1543</v>
      </c>
      <c r="I11" s="18">
        <f>G11+H11-C11-E11</f>
        <v>0</v>
      </c>
      <c r="J11" s="18">
        <f>C11-G11</f>
        <v>-1392</v>
      </c>
      <c r="K11" s="18"/>
    </row>
    <row r="12" ht="20.05" customHeight="1">
      <c r="B12" s="32"/>
      <c r="C12" s="17">
        <v>169</v>
      </c>
      <c r="D12" s="18">
        <v>3104</v>
      </c>
      <c r="E12" s="18">
        <f>D12-C12</f>
        <v>2935</v>
      </c>
      <c r="F12" s="18">
        <f>F11+'Sales'!E21</f>
        <v>1897</v>
      </c>
      <c r="G12" s="18">
        <v>1632</v>
      </c>
      <c r="H12" s="18">
        <v>1472</v>
      </c>
      <c r="I12" s="18">
        <f>G12+H12-C12-E12</f>
        <v>0</v>
      </c>
      <c r="J12" s="18">
        <f>C12-G12</f>
        <v>-1463</v>
      </c>
      <c r="K12" s="18"/>
    </row>
    <row r="13" ht="20.05" customHeight="1">
      <c r="B13" s="32"/>
      <c r="C13" s="17">
        <v>169</v>
      </c>
      <c r="D13" s="18">
        <v>3113</v>
      </c>
      <c r="E13" s="18">
        <f>D13-C13</f>
        <v>2944</v>
      </c>
      <c r="F13" s="18">
        <f>F12+'Sales'!E22</f>
        <v>1920</v>
      </c>
      <c r="G13" s="18">
        <v>1568</v>
      </c>
      <c r="H13" s="18">
        <v>1546</v>
      </c>
      <c r="I13" s="18">
        <f>G13+H13-C13-E13</f>
        <v>1</v>
      </c>
      <c r="J13" s="18">
        <f>C13-G13</f>
        <v>-1399</v>
      </c>
      <c r="K13" s="18"/>
    </row>
    <row r="14" ht="20.05" customHeight="1">
      <c r="B14" s="32"/>
      <c r="C14" s="17">
        <f>159+2</f>
        <v>161</v>
      </c>
      <c r="D14" s="18">
        <v>3073</v>
      </c>
      <c r="E14" s="18">
        <f>D14-C14</f>
        <v>2912</v>
      </c>
      <c r="F14" s="18">
        <f>1+1940</f>
        <v>1941</v>
      </c>
      <c r="G14" s="18">
        <v>1560.68</v>
      </c>
      <c r="H14" s="18">
        <v>1512.47</v>
      </c>
      <c r="I14" s="18">
        <f>G14+H14-C14-E14</f>
        <v>0.15</v>
      </c>
      <c r="J14" s="18">
        <f>C14-G14</f>
        <v>-1399.68</v>
      </c>
      <c r="K14" s="18"/>
    </row>
    <row r="15" ht="20.05" customHeight="1">
      <c r="B15" s="33">
        <v>2021</v>
      </c>
      <c r="C15" s="17">
        <v>172</v>
      </c>
      <c r="D15" s="18">
        <v>3130</v>
      </c>
      <c r="E15" s="18">
        <f>D15-C15</f>
        <v>2958</v>
      </c>
      <c r="F15" s="18">
        <f>1960+1</f>
        <v>1961</v>
      </c>
      <c r="G15" s="18">
        <v>1542</v>
      </c>
      <c r="H15" s="18">
        <v>1588</v>
      </c>
      <c r="I15" s="18">
        <f>G15+H15-C15-E15</f>
        <v>0</v>
      </c>
      <c r="J15" s="18">
        <f>C15-G15</f>
        <v>-1370</v>
      </c>
      <c r="K15" s="18"/>
    </row>
    <row r="16" ht="20.05" customHeight="1">
      <c r="B16" s="32"/>
      <c r="C16" s="17">
        <v>184</v>
      </c>
      <c r="D16" s="18">
        <v>3109</v>
      </c>
      <c r="E16" s="18">
        <f>D16-C16</f>
        <v>2925</v>
      </c>
      <c r="F16" s="18">
        <f>1980+2</f>
        <v>1982</v>
      </c>
      <c r="G16" s="18">
        <v>1478</v>
      </c>
      <c r="H16" s="18">
        <v>1631</v>
      </c>
      <c r="I16" s="18">
        <f>G16+H16-C16-E16</f>
        <v>0</v>
      </c>
      <c r="J16" s="18">
        <f>C16-G16</f>
        <v>-1294</v>
      </c>
      <c r="K16" s="18"/>
    </row>
    <row r="17" ht="20.05" customHeight="1">
      <c r="B17" s="32"/>
      <c r="C17" s="17">
        <f>152+5</f>
        <v>157</v>
      </c>
      <c r="D17" s="18">
        <v>3138</v>
      </c>
      <c r="E17" s="18">
        <f>D17-C17</f>
        <v>2981</v>
      </c>
      <c r="F17" s="18">
        <f>2001+2</f>
        <v>2003</v>
      </c>
      <c r="G17" s="18">
        <v>1456</v>
      </c>
      <c r="H17" s="18">
        <v>1682</v>
      </c>
      <c r="I17" s="18">
        <f>G17+H17-C17-E17</f>
        <v>0</v>
      </c>
      <c r="J17" s="18">
        <f>C17-G17</f>
        <v>-1299</v>
      </c>
      <c r="K17" s="18"/>
    </row>
    <row r="18" ht="20.05" customHeight="1">
      <c r="B18" s="32"/>
      <c r="C18" s="17">
        <f>201+4</f>
        <v>205</v>
      </c>
      <c r="D18" s="18">
        <v>3162</v>
      </c>
      <c r="E18" s="18">
        <f>D18-C18</f>
        <v>2957</v>
      </c>
      <c r="F18" s="18">
        <f>2021+2</f>
        <v>2023</v>
      </c>
      <c r="G18" s="18">
        <v>1406</v>
      </c>
      <c r="H18" s="18">
        <v>1756</v>
      </c>
      <c r="I18" s="18">
        <f>G18+H18-C18-E18</f>
        <v>0</v>
      </c>
      <c r="J18" s="18">
        <f>C18-G18</f>
        <v>-1201</v>
      </c>
      <c r="K18" s="18"/>
    </row>
    <row r="19" ht="20.05" customHeight="1">
      <c r="B19" s="33">
        <v>2022</v>
      </c>
      <c r="C19" s="17">
        <v>141</v>
      </c>
      <c r="D19" s="18">
        <v>3091</v>
      </c>
      <c r="E19" s="18">
        <f>D19-C19</f>
        <v>2950</v>
      </c>
      <c r="F19" s="18">
        <f>F18+'Sales'!E27</f>
        <v>2043.2</v>
      </c>
      <c r="G19" s="18">
        <v>1261</v>
      </c>
      <c r="H19" s="18">
        <f>D19-G19</f>
        <v>1830</v>
      </c>
      <c r="I19" s="18">
        <f>G19+H19-C19-E19</f>
        <v>0</v>
      </c>
      <c r="J19" s="18">
        <f>C19-G19</f>
        <v>-1120</v>
      </c>
      <c r="K19" s="18">
        <v>-1060.636147401480</v>
      </c>
    </row>
    <row r="20" ht="20.05" customHeight="1">
      <c r="B20" s="32"/>
      <c r="C20" s="17"/>
      <c r="D20" s="18"/>
      <c r="E20" s="18"/>
      <c r="F20" s="18"/>
      <c r="G20" s="18"/>
      <c r="H20" s="18"/>
      <c r="I20" s="18"/>
      <c r="J20" s="18"/>
      <c r="K20" s="18">
        <f>'Model'!E31</f>
        <v>-962.064060945057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D2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2344" style="37" customWidth="1"/>
    <col min="2" max="4" width="10.1953" style="37" customWidth="1"/>
    <col min="5" max="16384" width="16.3516" style="37" customWidth="1"/>
  </cols>
  <sheetData>
    <row r="1" ht="27.65" customHeight="1">
      <c r="B1" t="s" s="2">
        <v>57</v>
      </c>
      <c r="C1" s="2"/>
      <c r="D1" s="2"/>
    </row>
    <row r="2" ht="20.25" customHeight="1">
      <c r="B2" s="35"/>
      <c r="C2" t="s" s="5">
        <v>58</v>
      </c>
      <c r="D2" t="s" s="5">
        <v>40</v>
      </c>
    </row>
    <row r="3" ht="20.25" customHeight="1">
      <c r="B3" s="28">
        <v>2018</v>
      </c>
      <c r="C3" s="29">
        <v>6830.276855</v>
      </c>
      <c r="D3" s="30"/>
    </row>
    <row r="4" ht="20.05" customHeight="1">
      <c r="B4" s="32"/>
      <c r="C4" s="17">
        <v>16184.785156</v>
      </c>
      <c r="D4" s="18"/>
    </row>
    <row r="5" ht="20.05" customHeight="1">
      <c r="B5" s="32"/>
      <c r="C5" s="17">
        <v>13666.007813</v>
      </c>
      <c r="D5" s="18"/>
    </row>
    <row r="6" ht="20.05" customHeight="1">
      <c r="B6" s="32"/>
      <c r="C6" s="17">
        <v>11012.172852</v>
      </c>
      <c r="D6" s="18"/>
    </row>
    <row r="7" ht="20.05" customHeight="1">
      <c r="B7" s="33">
        <v>2019</v>
      </c>
      <c r="C7" s="17">
        <v>10788.953125</v>
      </c>
      <c r="D7" s="18"/>
    </row>
    <row r="8" ht="20.05" customHeight="1">
      <c r="B8" s="32"/>
      <c r="C8" s="17">
        <v>12475.501953</v>
      </c>
      <c r="D8" s="18"/>
    </row>
    <row r="9" ht="20.05" customHeight="1">
      <c r="B9" s="32"/>
      <c r="C9" s="17">
        <v>10510.780273</v>
      </c>
      <c r="D9" s="18"/>
    </row>
    <row r="10" ht="20.05" customHeight="1">
      <c r="B10" s="32"/>
      <c r="C10" s="17">
        <v>10236.802734</v>
      </c>
      <c r="D10" s="18"/>
    </row>
    <row r="11" ht="20.05" customHeight="1">
      <c r="B11" s="33">
        <v>2020</v>
      </c>
      <c r="C11" s="17">
        <v>3975.167236</v>
      </c>
      <c r="D11" s="18"/>
    </row>
    <row r="12" ht="20.05" customHeight="1">
      <c r="B12" s="32"/>
      <c r="C12" s="17">
        <v>5130.85498</v>
      </c>
      <c r="D12" s="18"/>
    </row>
    <row r="13" ht="20.05" customHeight="1">
      <c r="B13" s="32"/>
      <c r="C13" s="17">
        <v>6050</v>
      </c>
      <c r="D13" s="18"/>
    </row>
    <row r="14" ht="20.05" customHeight="1">
      <c r="B14" s="32"/>
      <c r="C14" s="17">
        <v>10000</v>
      </c>
      <c r="D14" s="18"/>
    </row>
    <row r="15" ht="20.05" customHeight="1">
      <c r="B15" s="33">
        <v>2021</v>
      </c>
      <c r="C15" s="17">
        <v>10425</v>
      </c>
      <c r="D15" s="18"/>
    </row>
    <row r="16" ht="20.05" customHeight="1">
      <c r="B16" s="32"/>
      <c r="C16" s="17">
        <v>7800</v>
      </c>
      <c r="D16" s="18"/>
    </row>
    <row r="17" ht="20.05" customHeight="1">
      <c r="B17" s="32"/>
      <c r="C17" s="17">
        <v>7950</v>
      </c>
      <c r="D17" s="18"/>
    </row>
    <row r="18" ht="20.05" customHeight="1">
      <c r="B18" s="32"/>
      <c r="C18" s="17">
        <v>7525</v>
      </c>
      <c r="D18" s="18">
        <v>11034.7656213021</v>
      </c>
    </row>
    <row r="19" ht="20.05" customHeight="1">
      <c r="B19" s="33">
        <v>2022</v>
      </c>
      <c r="C19" s="17">
        <v>7025</v>
      </c>
      <c r="D19" s="18">
        <v>9615.503161970641</v>
      </c>
    </row>
    <row r="20" ht="20.05" customHeight="1">
      <c r="B20" s="32"/>
      <c r="C20" s="17">
        <v>7150</v>
      </c>
      <c r="D20" s="18">
        <v>12624</v>
      </c>
    </row>
    <row r="21" ht="20.05" customHeight="1">
      <c r="B21" s="32"/>
      <c r="C21" s="17"/>
      <c r="D21" s="18">
        <f>'Model'!E45</f>
        <v>12784.1448450696</v>
      </c>
    </row>
  </sheetData>
  <mergeCells count="1">
    <mergeCell ref="B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