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  <sheet name="Capital " sheetId="6" r:id="rId9"/>
    <sheet name="Data" sheetId="7" r:id="rId10"/>
  </sheets>
</workbook>
</file>

<file path=xl/sharedStrings.xml><?xml version="1.0" encoding="utf-8"?>
<sst xmlns="http://schemas.openxmlformats.org/spreadsheetml/2006/main" uniqueCount="93">
  <si>
    <t>Financial model</t>
  </si>
  <si>
    <t>Rpbn</t>
  </si>
  <si>
    <t>4Q 2021</t>
  </si>
  <si>
    <t>Cash flow</t>
  </si>
  <si>
    <t>Growth</t>
  </si>
  <si>
    <t>Sales</t>
  </si>
  <si>
    <t>Cost ratio</t>
  </si>
  <si>
    <t xml:space="preserve">Cash cost </t>
  </si>
  <si>
    <t>Operating</t>
  </si>
  <si>
    <t>Investment</t>
  </si>
  <si>
    <t>Finance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</si>
  <si>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</si>
  <si>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</si>
  <si>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</si>
  <si>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</si>
  <si>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</si>
  <si>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</si>
  <si>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</si>
  <si>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</si>
  <si>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</si>
  <si>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</si>
  <si>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</si>
  <si>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</si>
  <si>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</si>
  <si>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</si>
  <si>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</si>
  <si>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</si>
  <si>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</si>
  <si>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</si>
  <si>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</si>
  <si>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</si>
  <si>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</si>
  <si>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</si>
  <si>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</si>
  <si>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</si>
  <si>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</si>
  <si>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</si>
  <si>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</si>
  <si>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</si>
  <si>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</si>
  <si>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</si>
  <si>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</si>
  <si>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</si>
  <si>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Profit </t>
  </si>
  <si>
    <t xml:space="preserve">Sales growth </t>
  </si>
  <si>
    <t xml:space="preserve">Cost ratio </t>
  </si>
  <si>
    <t xml:space="preserve">Operating </t>
  </si>
  <si>
    <t xml:space="preserve">Investment </t>
  </si>
  <si>
    <t>Leases</t>
  </si>
  <si>
    <t xml:space="preserve">Free cashflow </t>
  </si>
  <si>
    <t>Assets</t>
  </si>
  <si>
    <t>Rp bn</t>
  </si>
  <si>
    <t>Cash</t>
  </si>
  <si>
    <t>Share price</t>
  </si>
  <si>
    <t>TIRA</t>
  </si>
  <si>
    <t xml:space="preserve">Previous </t>
  </si>
  <si>
    <t>Capital</t>
  </si>
  <si>
    <t xml:space="preserve">Total </t>
  </si>
  <si>
    <t>Table 1</t>
  </si>
  <si>
    <t>Market value</t>
  </si>
  <si>
    <t xml:space="preserve">capital history </t>
  </si>
  <si>
    <t>of market value</t>
  </si>
  <si>
    <t>paid every year since 2008</t>
  </si>
  <si>
    <t xml:space="preserve">Start date </t>
  </si>
  <si>
    <t xml:space="preserve">Number of quarters </t>
  </si>
  <si>
    <t>Market value Rpbn</t>
  </si>
  <si>
    <t xml:space="preserve">billion rupiah </t>
  </si>
  <si>
    <t>raised</t>
  </si>
  <si>
    <t xml:space="preserve">has </t>
  </si>
  <si>
    <t>paid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</si>
  <si>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</si>
  <si>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</si>
  <si>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</si>
  <si>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</si>
  <si>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</si>
  <si>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</si>
  <si>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</si>
  <si>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</si>
  <si>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</si>
  <si>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</si>
  <si>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</si>
  <si>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up</t>
  </si>
  <si>
    <t>to</t>
  </si>
  <si>
    <t xml:space="preserve">equity </t>
  </si>
  <si>
    <t>was</t>
  </si>
  <si>
    <t xml:space="preserve">The peak in cumulative equity </t>
  </si>
  <si>
    <t>is</t>
  </si>
  <si>
    <t>down</t>
  </si>
  <si>
    <t xml:space="preserve">Total capital </t>
  </si>
  <si>
    <t xml:space="preserve">total capital </t>
  </si>
  <si>
    <t xml:space="preserve">The peak in cumulative total capital </t>
  </si>
  <si>
    <t>Data</t>
  </si>
  <si>
    <t xml:space="preserve">Finance 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</si>
</sst>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%"/>
    <numFmt numFmtId="60" formatCode="#,##0.0"/>
    <numFmt numFmtId="61" formatCode="[$IDR]0"/>
    <numFmt numFmtId="62" formatCode="mmm d, yyyy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  <font>
      <sz val="12"/>
      <color indexed="8"/>
      <name val="Helvetica"/>
    </font>
    <font>
      <b val="1"/>
      <sz val="22"/>
      <color indexed="8"/>
      <name val="Helvetica Neue"/>
    </font>
    <font>
      <b val="1"/>
      <sz val="22"/>
      <color indexed="17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62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981331"/>
          <c:y val="0.0446026"/>
          <c:w val="0.859374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'!$F$3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'!$B$4:$B$20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'Capital '!$F$4:$F$20</c:f>
              <c:numCache>
                <c:ptCount val="17"/>
                <c:pt idx="0">
                  <c:v>-3.000000</c:v>
                </c:pt>
                <c:pt idx="1">
                  <c:v>60.000000</c:v>
                </c:pt>
                <c:pt idx="2">
                  <c:v>55.000000</c:v>
                </c:pt>
                <c:pt idx="3">
                  <c:v>34.000000</c:v>
                </c:pt>
                <c:pt idx="4">
                  <c:v>9.000000</c:v>
                </c:pt>
                <c:pt idx="5">
                  <c:v>23.000000</c:v>
                </c:pt>
                <c:pt idx="6">
                  <c:v>15.000000</c:v>
                </c:pt>
                <c:pt idx="7">
                  <c:v>21.000000</c:v>
                </c:pt>
                <c:pt idx="8">
                  <c:v>13.600000</c:v>
                </c:pt>
                <c:pt idx="9">
                  <c:v>4.600000</c:v>
                </c:pt>
                <c:pt idx="10">
                  <c:v>-24.400000</c:v>
                </c:pt>
                <c:pt idx="11">
                  <c:v>15.600000</c:v>
                </c:pt>
                <c:pt idx="12">
                  <c:v>21.600000</c:v>
                </c:pt>
                <c:pt idx="13">
                  <c:v>28.600000</c:v>
                </c:pt>
                <c:pt idx="14">
                  <c:v>24.600000</c:v>
                </c:pt>
                <c:pt idx="15">
                  <c:v>37.600000</c:v>
                </c:pt>
                <c:pt idx="16">
                  <c:v>47.600000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'!$G$3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'!$B$4:$B$20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'Capital '!$G$4:$G$20</c:f>
              <c:numCache>
                <c:ptCount val="17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0.000000</c:v>
                </c:pt>
                <c:pt idx="4">
                  <c:v>0.000000</c:v>
                </c:pt>
                <c:pt idx="5">
                  <c:v>0.000000</c:v>
                </c:pt>
                <c:pt idx="6">
                  <c:v>0.000000</c:v>
                </c:pt>
                <c:pt idx="7">
                  <c:v>-1.600000</c:v>
                </c:pt>
                <c:pt idx="8">
                  <c:v>-6.600000</c:v>
                </c:pt>
                <c:pt idx="9">
                  <c:v>-6.600000</c:v>
                </c:pt>
                <c:pt idx="10">
                  <c:v>-7.600000</c:v>
                </c:pt>
                <c:pt idx="11">
                  <c:v>-7.600000</c:v>
                </c:pt>
                <c:pt idx="12">
                  <c:v>-7.600000</c:v>
                </c:pt>
                <c:pt idx="13">
                  <c:v>-7.600000</c:v>
                </c:pt>
                <c:pt idx="14">
                  <c:v>-7.600000</c:v>
                </c:pt>
                <c:pt idx="15">
                  <c:v>-7.600000</c:v>
                </c:pt>
                <c:pt idx="16">
                  <c:v>-7.600000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'!$H$3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'!$B$4:$B$20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'Capital '!$H$4:$H$20</c:f>
              <c:numCache>
                <c:ptCount val="17"/>
                <c:pt idx="0">
                  <c:v>-3.000000</c:v>
                </c:pt>
                <c:pt idx="1">
                  <c:v>60.000000</c:v>
                </c:pt>
                <c:pt idx="2">
                  <c:v>55.000000</c:v>
                </c:pt>
                <c:pt idx="3">
                  <c:v>34.000000</c:v>
                </c:pt>
                <c:pt idx="4">
                  <c:v>9.000000</c:v>
                </c:pt>
                <c:pt idx="5">
                  <c:v>23.000000</c:v>
                </c:pt>
                <c:pt idx="6">
                  <c:v>15.000000</c:v>
                </c:pt>
                <c:pt idx="7">
                  <c:v>19.400000</c:v>
                </c:pt>
                <c:pt idx="8">
                  <c:v>7.000000</c:v>
                </c:pt>
                <c:pt idx="9">
                  <c:v>-2.000000</c:v>
                </c:pt>
                <c:pt idx="10">
                  <c:v>-32.000000</c:v>
                </c:pt>
                <c:pt idx="11">
                  <c:v>8.000000</c:v>
                </c:pt>
                <c:pt idx="12">
                  <c:v>14.000000</c:v>
                </c:pt>
                <c:pt idx="13">
                  <c:v>21.000000</c:v>
                </c:pt>
                <c:pt idx="14">
                  <c:v>17.000000</c:v>
                </c:pt>
                <c:pt idx="15">
                  <c:v>30.000000</c:v>
                </c:pt>
                <c:pt idx="16">
                  <c:v>40.000000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33.3333"/>
        <c:minorUnit val="16.6667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363268"/>
          <c:y val="0.062215"/>
          <c:w val="0.383871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188805</xdr:colOff>
      <xdr:row>1</xdr:row>
      <xdr:rowOff>252235</xdr:rowOff>
    </xdr:from>
    <xdr:to>
      <xdr:col>13</xdr:col>
      <xdr:colOff>360286</xdr:colOff>
      <xdr:row>46</xdr:row>
      <xdr:rowOff>239019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824305" y="722770"/>
          <a:ext cx="8883682" cy="1157045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358070</xdr:colOff>
      <xdr:row>24</xdr:row>
      <xdr:rowOff>401394</xdr:rowOff>
    </xdr:from>
    <xdr:to>
      <xdr:col>5</xdr:col>
      <xdr:colOff>71749</xdr:colOff>
      <xdr:row>33</xdr:row>
      <xdr:rowOff>227595</xdr:rowOff>
    </xdr:to>
    <xdr:graphicFrame>
      <xdr:nvGraphicFramePr>
        <xdr:cNvPr id="4" name="2D Line Chart"/>
        <xdr:cNvGraphicFramePr/>
      </xdr:nvGraphicFramePr>
      <xdr:xfrm>
        <a:off x="840670" y="6592009"/>
        <a:ext cx="3472880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250628</xdr:colOff>
      <xdr:row>23</xdr:row>
      <xdr:rowOff>228291</xdr:rowOff>
    </xdr:from>
    <xdr:to>
      <xdr:col>5</xdr:col>
      <xdr:colOff>372421</xdr:colOff>
      <xdr:row>24</xdr:row>
      <xdr:rowOff>472973</xdr:rowOff>
    </xdr:to>
    <xdr:sp>
      <xdr:nvSpPr>
        <xdr:cNvPr id="5" name="TIRA 40 billion rupiah raised"/>
        <xdr:cNvSpPr txBox="1"/>
      </xdr:nvSpPr>
      <xdr:spPr>
        <a:xfrm>
          <a:off x="733228" y="6161731"/>
          <a:ext cx="3880994" cy="50185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TIRA </a:t>
          </a:r>
          <a:r>
            <a:rPr b="1" baseline="0" cap="none" i="0" spc="0" strike="noStrike" sz="22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40</a:t>
          </a: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billion rupiah raised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1.3281" style="1" customWidth="1"/>
    <col min="2" max="2" width="14.7656" style="1" customWidth="1"/>
    <col min="3" max="6" width="8.66406" style="1" customWidth="1"/>
    <col min="7" max="16384" width="16.3516" style="1" customWidth="1"/>
  </cols>
  <sheetData>
    <row r="1" ht="37.05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t="s" s="4">
        <v>2</v>
      </c>
      <c r="D3" s="5"/>
      <c r="E3" s="5"/>
      <c r="F3" s="5"/>
    </row>
    <row r="4" ht="20.3" customHeight="1">
      <c r="B4" t="s" s="6">
        <v>3</v>
      </c>
      <c r="C4" s="7">
        <f>AVERAGE('Sales'!G15:G18)</f>
        <v>0.0437799540475381</v>
      </c>
      <c r="D4" s="8"/>
      <c r="E4" s="8"/>
      <c r="F4" s="9">
        <f>AVERAGE(C5:F5)</f>
        <v>0.025</v>
      </c>
    </row>
    <row r="5" ht="20.1" customHeight="1">
      <c r="B5" t="s" s="10">
        <v>4</v>
      </c>
      <c r="C5" s="11">
        <v>0.03</v>
      </c>
      <c r="D5" s="12">
        <v>0</v>
      </c>
      <c r="E5" s="12">
        <v>0.03</v>
      </c>
      <c r="F5" s="12">
        <v>0.04</v>
      </c>
    </row>
    <row r="6" ht="20.1" customHeight="1">
      <c r="B6" t="s" s="10">
        <v>5</v>
      </c>
      <c r="C6" s="13">
        <f>'Sales'!C18*(1+C5)</f>
        <v>63.86</v>
      </c>
      <c r="D6" s="14">
        <f>C6*(1+D5)</f>
        <v>63.86</v>
      </c>
      <c r="E6" s="14">
        <f>D6*(1+E5)</f>
        <v>65.7758</v>
      </c>
      <c r="F6" s="14">
        <f>E6*(1+F5)</f>
        <v>68.40683199999999</v>
      </c>
    </row>
    <row r="7" ht="20.1" customHeight="1">
      <c r="B7" t="s" s="10">
        <v>6</v>
      </c>
      <c r="C7" s="15">
        <f>AVERAGE('Sales'!I18)</f>
        <v>-0.9820994888038</v>
      </c>
      <c r="D7" s="16">
        <f>C7</f>
        <v>-0.9820994888038</v>
      </c>
      <c r="E7" s="16">
        <f>D7</f>
        <v>-0.9820994888038</v>
      </c>
      <c r="F7" s="16">
        <f>E7</f>
        <v>-0.9820994888038</v>
      </c>
    </row>
    <row r="8" ht="20.1" customHeight="1">
      <c r="B8" t="s" s="10">
        <v>7</v>
      </c>
      <c r="C8" s="17">
        <f>C7*C6</f>
        <v>-62.7168733550107</v>
      </c>
      <c r="D8" s="18">
        <f>D7*D6</f>
        <v>-62.7168733550107</v>
      </c>
      <c r="E8" s="18">
        <f>E7*E6</f>
        <v>-64.598379555661</v>
      </c>
      <c r="F8" s="18">
        <f>F7*F6</f>
        <v>-67.1823147378874</v>
      </c>
    </row>
    <row r="9" ht="20.1" customHeight="1">
      <c r="B9" t="s" s="10">
        <v>8</v>
      </c>
      <c r="C9" s="19">
        <f>C6+C8</f>
        <v>1.1431266449893</v>
      </c>
      <c r="D9" s="20">
        <f>D6+D8</f>
        <v>1.1431266449893</v>
      </c>
      <c r="E9" s="20">
        <f>E6+E8</f>
        <v>1.177420444339</v>
      </c>
      <c r="F9" s="20">
        <f>F6+F8</f>
        <v>1.2245172621126</v>
      </c>
    </row>
    <row r="10" ht="20.05" customHeight="1">
      <c r="B10" t="s" s="10">
        <v>9</v>
      </c>
      <c r="C10" s="19">
        <f>AVERAGE('Cashflow'!D16:D18)</f>
        <v>-0.266666666666667</v>
      </c>
      <c r="D10" s="20">
        <f>C10</f>
        <v>-0.266666666666667</v>
      </c>
      <c r="E10" s="20">
        <f>D10</f>
        <v>-0.266666666666667</v>
      </c>
      <c r="F10" s="20">
        <f>E10</f>
        <v>-0.266666666666667</v>
      </c>
    </row>
    <row r="11" ht="20.1" customHeight="1">
      <c r="B11" t="s" s="10">
        <v>10</v>
      </c>
      <c r="C11" s="19">
        <f>C12+C15+C13</f>
        <v>-0.87645997832263</v>
      </c>
      <c r="D11" s="20">
        <f>D12+D15+D13</f>
        <v>-0.87645997832263</v>
      </c>
      <c r="E11" s="20">
        <f>E12+E15+E13</f>
        <v>-0.91075377767233</v>
      </c>
      <c r="F11" s="20">
        <f>F12+F15+F13</f>
        <v>-0.95785059544593</v>
      </c>
    </row>
    <row r="12" ht="20.1" customHeight="1">
      <c r="B12" t="s" s="10">
        <v>11</v>
      </c>
      <c r="C12" s="19">
        <f>-('Balance sheet'!G14)/20</f>
        <v>-9.85</v>
      </c>
      <c r="D12" s="20">
        <f>-C27/20</f>
        <v>-9.3575</v>
      </c>
      <c r="E12" s="20">
        <f>-D27/20</f>
        <v>-8.889625000000001</v>
      </c>
      <c r="F12" s="20">
        <f>-E27/20</f>
        <v>-8.44514375</v>
      </c>
    </row>
    <row r="13" ht="20.1" customHeight="1">
      <c r="B13" t="s" s="10">
        <v>12</v>
      </c>
      <c r="C13" s="19">
        <f>-MIN(0,C16)</f>
        <v>8.973540021677371</v>
      </c>
      <c r="D13" s="20">
        <f>-MIN(C28,D16)</f>
        <v>8.481040021677369</v>
      </c>
      <c r="E13" s="20">
        <f>-MIN(D28,E16)</f>
        <v>7.97887122232767</v>
      </c>
      <c r="F13" s="20">
        <f>-MIN(E28,F16)</f>
        <v>7.48729315455407</v>
      </c>
    </row>
    <row r="14" ht="20.1" customHeight="1">
      <c r="B14" t="s" s="10">
        <v>13</v>
      </c>
      <c r="C14" s="21">
        <v>0</v>
      </c>
      <c r="D14" s="20"/>
      <c r="E14" s="20"/>
      <c r="F14" s="20"/>
    </row>
    <row r="15" ht="20.1" customHeight="1">
      <c r="B15" t="s" s="10">
        <v>14</v>
      </c>
      <c r="C15" s="19">
        <f>IF(C22&gt;0,-C22*$C$14,0)</f>
        <v>0</v>
      </c>
      <c r="D15" s="20">
        <f>IF(D22&gt;0,-D22*$C$14,0)</f>
        <v>0</v>
      </c>
      <c r="E15" s="20">
        <f>IF(E22&gt;0,-E22*$C$14,0)</f>
        <v>0</v>
      </c>
      <c r="F15" s="20">
        <f>IF(F22&gt;0,-F22*$C$14,0)</f>
        <v>0</v>
      </c>
    </row>
    <row r="16" ht="20.05" customHeight="1">
      <c r="B16" t="s" s="10">
        <v>15</v>
      </c>
      <c r="C16" s="19">
        <f>C9+C10+C12+C15</f>
        <v>-8.973540021677371</v>
      </c>
      <c r="D16" s="20">
        <f>D9+D10+D12+D15</f>
        <v>-8.481040021677369</v>
      </c>
      <c r="E16" s="20">
        <f>E9+E10+E12+E15</f>
        <v>-7.97887122232767</v>
      </c>
      <c r="F16" s="20">
        <f>F9+F10+F12+F15</f>
        <v>-7.48729315455407</v>
      </c>
    </row>
    <row r="17" ht="20.1" customHeight="1">
      <c r="B17" t="s" s="10">
        <v>16</v>
      </c>
      <c r="C17" s="19">
        <f>'Balance sheet'!C14</f>
        <v>11.2</v>
      </c>
      <c r="D17" s="20">
        <f>C19</f>
        <v>11.2</v>
      </c>
      <c r="E17" s="20">
        <f>D19</f>
        <v>11.2</v>
      </c>
      <c r="F17" s="20">
        <f>E19</f>
        <v>11.2</v>
      </c>
    </row>
    <row r="18" ht="20.1" customHeight="1">
      <c r="B18" t="s" s="10">
        <v>17</v>
      </c>
      <c r="C18" s="19">
        <f>C9+C10+C11</f>
        <v>3e-15</v>
      </c>
      <c r="D18" s="20">
        <f>D9+D10+D11</f>
        <v>3e-15</v>
      </c>
      <c r="E18" s="20">
        <f>E9+E10+E11</f>
        <v>3e-15</v>
      </c>
      <c r="F18" s="20">
        <f>F9+F10+F11</f>
        <v>3e-15</v>
      </c>
    </row>
    <row r="19" ht="20.1" customHeight="1">
      <c r="B19" t="s" s="10">
        <v>18</v>
      </c>
      <c r="C19" s="19">
        <f>C17+C18</f>
        <v>11.2</v>
      </c>
      <c r="D19" s="20">
        <f>D17+D18</f>
        <v>11.2</v>
      </c>
      <c r="E19" s="20">
        <f>E17+E18</f>
        <v>11.2</v>
      </c>
      <c r="F19" s="20">
        <f>F17+F18</f>
        <v>11.2</v>
      </c>
    </row>
    <row r="20" ht="20.1" customHeight="1">
      <c r="B20" t="s" s="22">
        <v>19</v>
      </c>
      <c r="C20" s="23"/>
      <c r="D20" s="24"/>
      <c r="E20" s="24"/>
      <c r="F20" s="25"/>
    </row>
    <row r="21" ht="20.1" customHeight="1">
      <c r="B21" t="s" s="10">
        <v>20</v>
      </c>
      <c r="C21" s="19">
        <f>-AVERAGE('Sales'!E18)</f>
        <v>-0.533333333333333</v>
      </c>
      <c r="D21" s="20">
        <f>C21</f>
        <v>-0.533333333333333</v>
      </c>
      <c r="E21" s="20">
        <f>D21</f>
        <v>-0.533333333333333</v>
      </c>
      <c r="F21" s="20">
        <f>E21</f>
        <v>-0.533333333333333</v>
      </c>
    </row>
    <row r="22" ht="20.1" customHeight="1">
      <c r="B22" t="s" s="10">
        <v>21</v>
      </c>
      <c r="C22" s="19">
        <f>C6+C8+C21</f>
        <v>0.609793311655967</v>
      </c>
      <c r="D22" s="20">
        <f>D6+D8+D21</f>
        <v>0.609793311655967</v>
      </c>
      <c r="E22" s="20">
        <f>E6+E8+E21</f>
        <v>0.644087111005667</v>
      </c>
      <c r="F22" s="20">
        <f>F6+F8+F21</f>
        <v>0.691183928779267</v>
      </c>
    </row>
    <row r="23" ht="20.1" customHeight="1">
      <c r="B23" t="s" s="22">
        <v>22</v>
      </c>
      <c r="C23" s="23"/>
      <c r="D23" s="24"/>
      <c r="E23" s="24"/>
      <c r="F23" s="25"/>
    </row>
    <row r="24" ht="20.1" customHeight="1">
      <c r="B24" t="s" s="10">
        <v>23</v>
      </c>
      <c r="C24" s="19">
        <f>'Balance sheet'!E14+'Balance sheet'!F14-C10</f>
        <v>357.166666666667</v>
      </c>
      <c r="D24" s="20">
        <f>C24-D10</f>
        <v>357.433333333334</v>
      </c>
      <c r="E24" s="20">
        <f>D24-E10</f>
        <v>357.700000000001</v>
      </c>
      <c r="F24" s="20">
        <f>E24-F10</f>
        <v>357.966666666668</v>
      </c>
    </row>
    <row r="25" ht="20.1" customHeight="1">
      <c r="B25" t="s" s="10">
        <v>24</v>
      </c>
      <c r="C25" s="19">
        <f>'Balance sheet'!F14-C21</f>
        <v>9.633333333333329</v>
      </c>
      <c r="D25" s="20">
        <f>C25-D21</f>
        <v>10.1666666666667</v>
      </c>
      <c r="E25" s="20">
        <f>D25-E21</f>
        <v>10.7</v>
      </c>
      <c r="F25" s="20">
        <f>E25-F21</f>
        <v>11.2333333333333</v>
      </c>
    </row>
    <row r="26" ht="20.1" customHeight="1">
      <c r="B26" t="s" s="10">
        <v>25</v>
      </c>
      <c r="C26" s="19">
        <f>C24-C25</f>
        <v>347.533333333334</v>
      </c>
      <c r="D26" s="20">
        <f>D24-D25</f>
        <v>347.266666666667</v>
      </c>
      <c r="E26" s="20">
        <f>E24-E25</f>
        <v>347.000000000001</v>
      </c>
      <c r="F26" s="20">
        <f>F24-F25</f>
        <v>346.733333333335</v>
      </c>
    </row>
    <row r="27" ht="20.1" customHeight="1">
      <c r="B27" t="s" s="10">
        <v>11</v>
      </c>
      <c r="C27" s="19">
        <f>'Balance sheet'!G14+C12</f>
        <v>187.15</v>
      </c>
      <c r="D27" s="20">
        <f>C27+D12</f>
        <v>177.7925</v>
      </c>
      <c r="E27" s="20">
        <f>D27+E12</f>
        <v>168.902875</v>
      </c>
      <c r="F27" s="20">
        <f>E27+F12</f>
        <v>160.45773125</v>
      </c>
    </row>
    <row r="28" ht="20.1" customHeight="1">
      <c r="B28" t="s" s="10">
        <v>12</v>
      </c>
      <c r="C28" s="19">
        <f>C13</f>
        <v>8.973540021677371</v>
      </c>
      <c r="D28" s="20">
        <f>C28+D13</f>
        <v>17.4545800433547</v>
      </c>
      <c r="E28" s="20">
        <f>D28+E13</f>
        <v>25.4334512656824</v>
      </c>
      <c r="F28" s="20">
        <f>E28+F13</f>
        <v>32.9207444202365</v>
      </c>
    </row>
    <row r="29" ht="20.1" customHeight="1">
      <c r="B29" t="s" s="10">
        <v>26</v>
      </c>
      <c r="C29" s="19">
        <f>'Balance sheet'!H14+C22+C15</f>
        <v>162.609793311656</v>
      </c>
      <c r="D29" s="20">
        <f>C29+D22+D15</f>
        <v>163.219586623312</v>
      </c>
      <c r="E29" s="20">
        <f>D29+E22+E15</f>
        <v>163.863673734318</v>
      </c>
      <c r="F29" s="20">
        <f>E29+F22+F15</f>
        <v>164.554857663097</v>
      </c>
    </row>
    <row r="30" ht="20.1" customHeight="1">
      <c r="B30" t="s" s="10">
        <v>27</v>
      </c>
      <c r="C30" s="19">
        <f>C27+C28+C29-C19-C26</f>
        <v>-6.3e-13</v>
      </c>
      <c r="D30" s="20">
        <f>D27+D28+D29-D19-D26</f>
        <v>-3e-13</v>
      </c>
      <c r="E30" s="20">
        <f>E27+E28+E29-E19-E26</f>
        <v>-6e-13</v>
      </c>
      <c r="F30" s="20">
        <f>F27+F28+F29-F19-F26</f>
        <v>-1.5e-12</v>
      </c>
    </row>
    <row r="31" ht="20.1" customHeight="1">
      <c r="B31" t="s" s="10">
        <v>28</v>
      </c>
      <c r="C31" s="19">
        <f>C19-C27-C28</f>
        <v>-184.923540021677</v>
      </c>
      <c r="D31" s="20">
        <f>D19-D27-D28</f>
        <v>-184.047080043355</v>
      </c>
      <c r="E31" s="20">
        <f>E19-E27-E28</f>
        <v>-183.136326265682</v>
      </c>
      <c r="F31" s="20">
        <f>F19-F27-F28</f>
        <v>-182.178475670237</v>
      </c>
    </row>
    <row r="32" ht="20.1" customHeight="1">
      <c r="B32" t="s" s="22">
        <v>29</v>
      </c>
      <c r="C32" s="19"/>
      <c r="D32" s="20"/>
      <c r="E32" s="20"/>
      <c r="F32" s="20"/>
    </row>
    <row r="33" ht="20.1" customHeight="1">
      <c r="B33" t="s" s="10">
        <v>30</v>
      </c>
      <c r="C33" s="19">
        <f>'Cashflow'!L18-C11</f>
        <v>-34.2235400216774</v>
      </c>
      <c r="D33" s="20">
        <f>C33-D11</f>
        <v>-33.3470800433548</v>
      </c>
      <c r="E33" s="20">
        <f>D33-E11</f>
        <v>-32.4363262656825</v>
      </c>
      <c r="F33" s="20">
        <f>E33-F11</f>
        <v>-31.4784756702366</v>
      </c>
    </row>
    <row r="34" ht="20.1" customHeight="1">
      <c r="B34" t="s" s="10">
        <v>31</v>
      </c>
      <c r="C34" s="19"/>
      <c r="D34" s="20"/>
      <c r="E34" s="20"/>
      <c r="F34" s="20">
        <v>229320000000</v>
      </c>
    </row>
    <row r="35" ht="20.1" customHeight="1">
      <c r="B35" t="s" s="10">
        <v>31</v>
      </c>
      <c r="C35" s="19"/>
      <c r="D35" s="20"/>
      <c r="E35" s="20"/>
      <c r="F35" s="20">
        <f>F34/1000000000</f>
        <v>229.32</v>
      </c>
    </row>
    <row r="36" ht="20.1" customHeight="1">
      <c r="B36" t="s" s="10">
        <v>32</v>
      </c>
      <c r="C36" s="19"/>
      <c r="D36" s="20"/>
      <c r="E36" s="20"/>
      <c r="F36" s="26">
        <f>F35/(F19+F26)</f>
        <v>0.640677966101692</v>
      </c>
    </row>
    <row r="37" ht="20.1" customHeight="1">
      <c r="B37" t="s" s="10">
        <v>33</v>
      </c>
      <c r="C37" s="19"/>
      <c r="D37" s="20"/>
      <c r="E37" s="20"/>
      <c r="F37" s="16">
        <f>-(C15+D15+E15+F15)/F35</f>
        <v>0</v>
      </c>
    </row>
    <row r="38" ht="20.1" customHeight="1">
      <c r="B38" t="s" s="10">
        <v>34</v>
      </c>
      <c r="C38" s="19"/>
      <c r="D38" s="20"/>
      <c r="E38" s="20"/>
      <c r="F38" s="20">
        <f>SUM(C9:F10)</f>
        <v>3.62152432976353</v>
      </c>
    </row>
    <row r="39" ht="20.1" customHeight="1">
      <c r="B39" t="s" s="10">
        <v>35</v>
      </c>
      <c r="C39" s="19"/>
      <c r="D39" s="20"/>
      <c r="E39" s="20"/>
      <c r="F39" s="20">
        <f>'Balance sheet'!E14/F38</f>
        <v>96.03690831001811</v>
      </c>
    </row>
    <row r="40" ht="20.1" customHeight="1">
      <c r="B40" t="s" s="10">
        <v>29</v>
      </c>
      <c r="C40" s="19"/>
      <c r="D40" s="20"/>
      <c r="E40" s="20"/>
      <c r="F40" s="20">
        <f>F35/F38</f>
        <v>63.3214025694461</v>
      </c>
    </row>
    <row r="41" ht="20.1" customHeight="1">
      <c r="B41" t="s" s="10">
        <v>36</v>
      </c>
      <c r="C41" s="19"/>
      <c r="D41" s="20"/>
      <c r="E41" s="20"/>
      <c r="F41" s="20">
        <v>25</v>
      </c>
    </row>
    <row r="42" ht="20.1" customHeight="1">
      <c r="B42" t="s" s="10">
        <v>37</v>
      </c>
      <c r="C42" s="19"/>
      <c r="D42" s="20"/>
      <c r="E42" s="20"/>
      <c r="F42" s="20">
        <f>F38*F41</f>
        <v>90.53810824408831</v>
      </c>
    </row>
    <row r="43" ht="20.1" customHeight="1">
      <c r="B43" t="s" s="10">
        <v>38</v>
      </c>
      <c r="C43" s="19"/>
      <c r="D43" s="20"/>
      <c r="E43" s="20"/>
      <c r="F43" s="20">
        <f>F35/F45</f>
        <v>0.588</v>
      </c>
    </row>
    <row r="44" ht="20.1" customHeight="1">
      <c r="B44" t="s" s="10">
        <v>39</v>
      </c>
      <c r="C44" s="19"/>
      <c r="D44" s="20"/>
      <c r="E44" s="20"/>
      <c r="F44" s="20">
        <f>F42/F43</f>
        <v>153.976374564776</v>
      </c>
    </row>
    <row r="45" ht="20.1" customHeight="1">
      <c r="B45" t="s" s="10">
        <v>40</v>
      </c>
      <c r="C45" s="19"/>
      <c r="D45" s="20"/>
      <c r="E45" s="20"/>
      <c r="F45" s="20">
        <v>390</v>
      </c>
    </row>
    <row r="46" ht="20.1" customHeight="1">
      <c r="B46" t="s" s="10">
        <v>41</v>
      </c>
      <c r="C46" s="19"/>
      <c r="D46" s="20"/>
      <c r="E46" s="20"/>
      <c r="F46" s="16">
        <f>F44/F45-1</f>
        <v>-0.605188783167241</v>
      </c>
    </row>
    <row r="47" ht="20.1" customHeight="1">
      <c r="B47" t="s" s="10">
        <v>42</v>
      </c>
      <c r="C47" s="19"/>
      <c r="D47" s="20"/>
      <c r="E47" s="20"/>
      <c r="F47" s="16">
        <f>'Sales'!C18/'Sales'!C14-1</f>
        <v>0.107142857142857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67188" style="27" customWidth="1"/>
    <col min="2" max="2" width="7.67969" style="27" customWidth="1"/>
    <col min="3" max="4" width="9.76562" style="27" customWidth="1"/>
    <col min="5" max="5" width="9.57812" style="27" customWidth="1"/>
    <col min="6" max="6" width="6.40625" style="27" customWidth="1"/>
    <col min="7" max="10" width="9.76562" style="27" customWidth="1"/>
    <col min="11" max="16384" width="16.3516" style="27" customWidth="1"/>
  </cols>
  <sheetData>
    <row r="1" ht="7.8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4">
        <v>1</v>
      </c>
      <c r="C3" t="s" s="4">
        <v>5</v>
      </c>
      <c r="D3" t="s" s="4">
        <v>36</v>
      </c>
      <c r="E3" t="s" s="4">
        <v>20</v>
      </c>
      <c r="F3" t="s" s="4">
        <v>43</v>
      </c>
      <c r="G3" t="s" s="4">
        <v>44</v>
      </c>
      <c r="H3" t="s" s="4">
        <v>45</v>
      </c>
      <c r="I3" t="s" s="4">
        <v>45</v>
      </c>
      <c r="J3" t="s" s="4">
        <v>36</v>
      </c>
    </row>
    <row r="4" ht="20.25" customHeight="1">
      <c r="B4" s="28">
        <v>2018</v>
      </c>
      <c r="C4" s="29">
        <f>'Data'!E3</f>
        <v>75</v>
      </c>
      <c r="D4" s="8"/>
      <c r="E4" s="30">
        <v>2.075</v>
      </c>
      <c r="F4" s="30">
        <f>'Data'!F3</f>
        <v>0.2</v>
      </c>
      <c r="G4" s="31"/>
      <c r="H4" s="31">
        <f>(E4+F4-C4)/C4</f>
        <v>-0.969666666666667</v>
      </c>
      <c r="I4" s="31"/>
      <c r="J4" s="31"/>
    </row>
    <row r="5" ht="20.05" customHeight="1">
      <c r="B5" s="32"/>
      <c r="C5" s="13">
        <f>'Data'!E4-'Data'!E3</f>
        <v>68</v>
      </c>
      <c r="D5" s="25"/>
      <c r="E5" s="20">
        <v>2.075</v>
      </c>
      <c r="F5" s="20">
        <f>'Data'!F4-'Data'!F3</f>
        <v>-5</v>
      </c>
      <c r="G5" s="16">
        <f>C5/C4-1</f>
        <v>-0.0933333333333333</v>
      </c>
      <c r="H5" s="16">
        <f>(E5+F5-C5)/C5</f>
        <v>-1.04301470588235</v>
      </c>
      <c r="I5" s="16">
        <f>AVERAGE(H3:H5)</f>
        <v>-1.00634068627451</v>
      </c>
      <c r="J5" s="16"/>
    </row>
    <row r="6" ht="20.05" customHeight="1">
      <c r="B6" s="32"/>
      <c r="C6" s="13">
        <f>'Data'!E5-'Data'!E4</f>
        <v>66</v>
      </c>
      <c r="D6" s="25"/>
      <c r="E6" s="20">
        <v>2.075</v>
      </c>
      <c r="F6" s="20">
        <f>'Data'!F5-'Data'!F4</f>
        <v>5.2</v>
      </c>
      <c r="G6" s="16">
        <f>C6/C5-1</f>
        <v>-0.0294117647058824</v>
      </c>
      <c r="H6" s="16">
        <f>(E6+F6-C6)/C6</f>
        <v>-0.889772727272727</v>
      </c>
      <c r="I6" s="16">
        <f>AVERAGE(H3:H6)</f>
        <v>-0.967484699940581</v>
      </c>
      <c r="J6" s="16"/>
    </row>
    <row r="7" ht="20.05" customHeight="1">
      <c r="B7" s="32"/>
      <c r="C7" s="13">
        <f>'Data'!E6-'Data'!E5</f>
        <v>78</v>
      </c>
      <c r="D7" s="25"/>
      <c r="E7" s="20">
        <v>2.075</v>
      </c>
      <c r="F7" s="20">
        <f>'Data'!F6-'Data'!F5</f>
        <v>-0.8</v>
      </c>
      <c r="G7" s="16">
        <f>C7/C6-1</f>
        <v>0.181818181818182</v>
      </c>
      <c r="H7" s="16">
        <f>(E7+F7-C7)/C7</f>
        <v>-0.983653846153846</v>
      </c>
      <c r="I7" s="16">
        <f>AVERAGE(H4:H7)</f>
        <v>-0.971526986493898</v>
      </c>
      <c r="J7" s="16"/>
    </row>
    <row r="8" ht="20.05" customHeight="1">
      <c r="B8" s="33">
        <v>2019</v>
      </c>
      <c r="C8" s="13">
        <f>'Data'!E7</f>
        <v>76</v>
      </c>
      <c r="D8" s="25"/>
      <c r="E8" s="20">
        <v>1.125</v>
      </c>
      <c r="F8" s="20">
        <f>'Data'!F7</f>
        <v>0.6</v>
      </c>
      <c r="G8" s="16">
        <f>C8/C7-1</f>
        <v>-0.0256410256410256</v>
      </c>
      <c r="H8" s="16">
        <f>(E8+F8-C8)/C8</f>
        <v>-0.977302631578947</v>
      </c>
      <c r="I8" s="16">
        <f>AVERAGE(H5:H8)</f>
        <v>-0.973435977721968</v>
      </c>
      <c r="J8" s="16"/>
    </row>
    <row r="9" ht="20.05" customHeight="1">
      <c r="B9" s="32"/>
      <c r="C9" s="13">
        <f>'Data'!E8-'Data'!E7</f>
        <v>68</v>
      </c>
      <c r="D9" s="25"/>
      <c r="E9" s="20">
        <v>1.125</v>
      </c>
      <c r="F9" s="20">
        <f>'Data'!F8-'Data'!F7</f>
        <v>-0.1</v>
      </c>
      <c r="G9" s="16">
        <f>C9/C8-1</f>
        <v>-0.105263157894737</v>
      </c>
      <c r="H9" s="16">
        <f>(E9+F9-C9)/C9</f>
        <v>-0.984926470588235</v>
      </c>
      <c r="I9" s="16">
        <f>AVERAGE(H6:H9)</f>
        <v>-0.958913918898439</v>
      </c>
      <c r="J9" s="16"/>
    </row>
    <row r="10" ht="20.05" customHeight="1">
      <c r="B10" s="32"/>
      <c r="C10" s="13">
        <f>'Data'!E9-'Data'!E8</f>
        <v>69</v>
      </c>
      <c r="D10" s="25"/>
      <c r="E10" s="20">
        <v>1.125</v>
      </c>
      <c r="F10" s="20">
        <f>'Data'!F9-'Data'!F8</f>
        <v>0.1</v>
      </c>
      <c r="G10" s="16">
        <f>C10/C9-1</f>
        <v>0.0147058823529412</v>
      </c>
      <c r="H10" s="16">
        <f>(E10+F10-C10)/C10</f>
        <v>-0.982246376811594</v>
      </c>
      <c r="I10" s="16">
        <f>AVERAGE(H7:H10)</f>
        <v>-0.982032331283156</v>
      </c>
      <c r="J10" s="16"/>
    </row>
    <row r="11" ht="20.05" customHeight="1">
      <c r="B11" s="32"/>
      <c r="C11" s="13">
        <f>'Data'!E10-'Data'!E9</f>
        <v>68</v>
      </c>
      <c r="D11" s="25"/>
      <c r="E11" s="20">
        <v>1.125</v>
      </c>
      <c r="F11" s="20">
        <f>'Data'!F10-'Data'!F9</f>
        <v>0.7</v>
      </c>
      <c r="G11" s="16">
        <f>C11/C10-1</f>
        <v>-0.0144927536231884</v>
      </c>
      <c r="H11" s="16">
        <f>(E11+F11-C11)/C11</f>
        <v>-0.973161764705882</v>
      </c>
      <c r="I11" s="16">
        <f>AVERAGE(H8:H11)</f>
        <v>-0.979409310921165</v>
      </c>
      <c r="J11" s="16"/>
    </row>
    <row r="12" ht="20.05" customHeight="1">
      <c r="B12" s="33">
        <v>2020</v>
      </c>
      <c r="C12" s="13">
        <f>'Data'!E11</f>
        <v>67</v>
      </c>
      <c r="D12" s="25"/>
      <c r="E12" s="20">
        <v>0.75</v>
      </c>
      <c r="F12" s="20">
        <f>'Data'!F11</f>
        <v>0.1</v>
      </c>
      <c r="G12" s="16">
        <f>C12/C11-1</f>
        <v>-0.0147058823529412</v>
      </c>
      <c r="H12" s="16">
        <f>(E12+F12-C12)/C12</f>
        <v>-0.987313432835821</v>
      </c>
      <c r="I12" s="16">
        <f>AVERAGE(H9:H12)</f>
        <v>-0.981912011235383</v>
      </c>
      <c r="J12" s="16"/>
    </row>
    <row r="13" ht="20.05" customHeight="1">
      <c r="B13" s="32"/>
      <c r="C13" s="13">
        <f>'Data'!E12-'Data'!E11</f>
        <v>68</v>
      </c>
      <c r="D13" s="25"/>
      <c r="E13" s="20">
        <v>0.75</v>
      </c>
      <c r="F13" s="20">
        <f>'Data'!F12-'Data'!F11</f>
        <v>0.3</v>
      </c>
      <c r="G13" s="16">
        <f>C13/C12-1</f>
        <v>0.0149253731343284</v>
      </c>
      <c r="H13" s="16">
        <f>(E13+F13-C13)/C13</f>
        <v>-0.984558823529412</v>
      </c>
      <c r="I13" s="16">
        <f>AVERAGE(H10:H13)</f>
        <v>-0.9818200994706771</v>
      </c>
      <c r="J13" s="16"/>
    </row>
    <row r="14" ht="20.05" customHeight="1">
      <c r="B14" s="32"/>
      <c r="C14" s="13">
        <f>'Data'!E13-'Data'!E12</f>
        <v>56</v>
      </c>
      <c r="D14" s="25"/>
      <c r="E14" s="20">
        <v>0.75</v>
      </c>
      <c r="F14" s="20">
        <f>'Data'!F13-'Data'!F12</f>
        <v>-0.1</v>
      </c>
      <c r="G14" s="16">
        <f>C14/C13-1</f>
        <v>-0.176470588235294</v>
      </c>
      <c r="H14" s="16">
        <f>(E14+F14-C14)/C14</f>
        <v>-0.988392857142857</v>
      </c>
      <c r="I14" s="16">
        <f>AVERAGE(H11:H14)</f>
        <v>-0.983356719553493</v>
      </c>
      <c r="J14" s="16"/>
    </row>
    <row r="15" ht="20.05" customHeight="1">
      <c r="B15" s="32"/>
      <c r="C15" s="13">
        <f>'Data'!E14-'Data'!E13</f>
        <v>60</v>
      </c>
      <c r="D15" s="25"/>
      <c r="E15" s="20">
        <v>0.75</v>
      </c>
      <c r="F15" s="20">
        <f>'Data'!F14-'Data'!F13</f>
        <v>2.1</v>
      </c>
      <c r="G15" s="16">
        <f>C15/C14-1</f>
        <v>0.0714285714285714</v>
      </c>
      <c r="H15" s="16">
        <f>(E15+F15-C15)/C15</f>
        <v>-0.9525</v>
      </c>
      <c r="I15" s="16">
        <f>AVERAGE(H12:H15)</f>
        <v>-0.978191278377023</v>
      </c>
      <c r="J15" s="16"/>
    </row>
    <row r="16" ht="20.05" customHeight="1">
      <c r="B16" s="33">
        <v>2021</v>
      </c>
      <c r="C16" s="13">
        <f>'Data'!E15</f>
        <v>48.6</v>
      </c>
      <c r="D16" s="25"/>
      <c r="E16" s="20">
        <v>0.533333333333333</v>
      </c>
      <c r="F16" s="20">
        <f>'Data'!F15</f>
        <v>-0.96</v>
      </c>
      <c r="G16" s="16">
        <f>C16/C15-1</f>
        <v>-0.19</v>
      </c>
      <c r="H16" s="16">
        <f>(E16+F16-C16)/C16</f>
        <v>-1.00877914951989</v>
      </c>
      <c r="I16" s="16">
        <f>AVERAGE(H13:H16)</f>
        <v>-0.98355770754804</v>
      </c>
      <c r="J16" s="16"/>
    </row>
    <row r="17" ht="20.05" customHeight="1">
      <c r="B17" s="32"/>
      <c r="C17" s="13">
        <f>'Data'!E16-'Data'!E15</f>
        <v>65.40000000000001</v>
      </c>
      <c r="D17" s="25"/>
      <c r="E17" s="20">
        <v>0.533333333333333</v>
      </c>
      <c r="F17" s="20">
        <f>'Data'!F16-'Data'!F15</f>
        <v>1.16</v>
      </c>
      <c r="G17" s="16">
        <f>C17/C16-1</f>
        <v>0.345679012345679</v>
      </c>
      <c r="H17" s="16">
        <f>(E17+F17-C17)/C17</f>
        <v>-0.974108053007136</v>
      </c>
      <c r="I17" s="16">
        <f>AVERAGE(H14:H17)</f>
        <v>-0.980945014917471</v>
      </c>
      <c r="J17" s="16"/>
    </row>
    <row r="18" ht="20.05" customHeight="1">
      <c r="B18" s="32"/>
      <c r="C18" s="13">
        <f>'Data'!E17-'Data'!E16</f>
        <v>62</v>
      </c>
      <c r="D18" s="25"/>
      <c r="E18" s="20">
        <v>0.533333333333333</v>
      </c>
      <c r="F18" s="20">
        <f>'Data'!F17-'Data'!F16</f>
        <v>-0.1</v>
      </c>
      <c r="G18" s="16">
        <f>C18/C17-1</f>
        <v>-0.0519877675840979</v>
      </c>
      <c r="H18" s="16">
        <f>(E18+F18-C18)/C18</f>
        <v>-0.993010752688172</v>
      </c>
      <c r="I18" s="16">
        <f>AVERAGE(H15:H18)</f>
        <v>-0.9820994888038</v>
      </c>
      <c r="J18" s="16">
        <f>I18</f>
        <v>-0.9820994888038</v>
      </c>
    </row>
    <row r="19" ht="20.05" customHeight="1">
      <c r="B19" s="32"/>
      <c r="C19" s="13"/>
      <c r="D19" s="24">
        <f>'Model'!C6</f>
        <v>63.86</v>
      </c>
      <c r="E19" s="20"/>
      <c r="F19" s="25"/>
      <c r="G19" s="16"/>
      <c r="H19" s="16"/>
      <c r="I19" s="16"/>
      <c r="J19" s="16">
        <f>'Model'!C7</f>
        <v>-0.9820994888038</v>
      </c>
    </row>
    <row r="20" ht="20.05" customHeight="1">
      <c r="B20" s="33">
        <v>2022</v>
      </c>
      <c r="C20" s="13"/>
      <c r="D20" s="24">
        <f>'Model'!D6</f>
        <v>63.86</v>
      </c>
      <c r="E20" s="25"/>
      <c r="F20" s="25"/>
      <c r="G20" s="16"/>
      <c r="H20" s="16"/>
      <c r="I20" s="16"/>
      <c r="J20" s="16"/>
    </row>
    <row r="21" ht="20.05" customHeight="1">
      <c r="B21" s="32"/>
      <c r="C21" s="13"/>
      <c r="D21" s="24">
        <f>'Model'!E6</f>
        <v>65.7758</v>
      </c>
      <c r="E21" s="25"/>
      <c r="F21" s="25"/>
      <c r="G21" s="12"/>
      <c r="H21" s="12"/>
      <c r="I21" s="12"/>
      <c r="J21" s="25"/>
    </row>
    <row r="22" ht="20.05" customHeight="1">
      <c r="B22" s="32"/>
      <c r="C22" s="13"/>
      <c r="D22" s="24">
        <f>'Model'!F6</f>
        <v>68.40683199999999</v>
      </c>
      <c r="E22" s="25"/>
      <c r="F22" s="25"/>
      <c r="G22" s="12"/>
      <c r="H22" s="12"/>
      <c r="I22" s="12"/>
      <c r="J22" s="12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N1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58594" style="34" customWidth="1"/>
    <col min="2" max="2" width="8.17969" style="34" customWidth="1"/>
    <col min="3" max="3" width="10.6719" style="34" customWidth="1"/>
    <col min="4" max="4" width="9.74219" style="34" customWidth="1"/>
    <col min="5" max="14" width="9.78906" style="34" customWidth="1"/>
    <col min="15" max="16384" width="16.3516" style="34" customWidth="1"/>
  </cols>
  <sheetData>
    <row r="1" ht="22.6" customHeight="1"/>
    <row r="2" ht="27.65" customHeight="1">
      <c r="B2" t="s" s="2">
        <v>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B3" t="s" s="4">
        <v>1</v>
      </c>
      <c r="C3" t="s" s="4">
        <v>46</v>
      </c>
      <c r="D3" t="s" s="4">
        <v>47</v>
      </c>
      <c r="E3" t="s" s="4">
        <v>48</v>
      </c>
      <c r="F3" t="s" s="4">
        <v>11</v>
      </c>
      <c r="G3" t="s" s="4">
        <v>14</v>
      </c>
      <c r="H3" t="s" s="4">
        <v>10</v>
      </c>
      <c r="I3" t="s" s="4">
        <v>49</v>
      </c>
      <c r="J3" t="s" s="4">
        <v>34</v>
      </c>
      <c r="K3" t="s" s="4">
        <v>36</v>
      </c>
      <c r="L3" t="s" s="4">
        <v>30</v>
      </c>
      <c r="M3" t="s" s="4">
        <v>36</v>
      </c>
      <c r="N3" s="35"/>
    </row>
    <row r="4" ht="20.25" customHeight="1">
      <c r="B4" s="28">
        <v>2018</v>
      </c>
      <c r="C4" s="36">
        <f>'Data'!G3</f>
        <v>4.6</v>
      </c>
      <c r="D4" s="30">
        <f>'Data'!H3</f>
        <v>0.8</v>
      </c>
      <c r="E4" s="30"/>
      <c r="F4" s="30"/>
      <c r="G4" s="30"/>
      <c r="H4" s="30">
        <f>'Data'!I3</f>
        <v>-4.3</v>
      </c>
      <c r="I4" s="30">
        <f>C4+D4+E4</f>
        <v>5.4</v>
      </c>
      <c r="J4" s="30"/>
      <c r="K4" s="30"/>
      <c r="L4" s="30">
        <f>-14-H4</f>
        <v>-9.699999999999999</v>
      </c>
      <c r="M4" s="30"/>
      <c r="N4" s="30"/>
    </row>
    <row r="5" ht="20.05" customHeight="1">
      <c r="B5" s="32"/>
      <c r="C5" s="19">
        <f>'Data'!G4-'Data'!G3</f>
        <v>-0.3</v>
      </c>
      <c r="D5" s="20">
        <f>'Data'!H4-'Data'!H3</f>
        <v>-1.4</v>
      </c>
      <c r="E5" s="20"/>
      <c r="F5" s="20"/>
      <c r="G5" s="20"/>
      <c r="H5" s="20">
        <f>'Data'!I4-'Data'!I3</f>
        <v>-1.5</v>
      </c>
      <c r="I5" s="20">
        <f>C5+D5+E5</f>
        <v>-1.7</v>
      </c>
      <c r="J5" s="20">
        <f>AVERAGE(I5:I5)</f>
        <v>-1.7</v>
      </c>
      <c r="K5" s="20"/>
      <c r="L5" s="20">
        <f>-H5+L4</f>
        <v>-8.199999999999999</v>
      </c>
      <c r="M5" s="20"/>
      <c r="N5" s="20"/>
    </row>
    <row r="6" ht="20.05" customHeight="1">
      <c r="B6" s="32"/>
      <c r="C6" s="19">
        <f>'Data'!G5-'Data'!G4</f>
        <v>3.8</v>
      </c>
      <c r="D6" s="20">
        <f>'Data'!H5-'Data'!H4</f>
        <v>0.1</v>
      </c>
      <c r="E6" s="20"/>
      <c r="F6" s="20"/>
      <c r="G6" s="20"/>
      <c r="H6" s="20">
        <f>'Data'!I5-'Data'!I4</f>
        <v>-1.5</v>
      </c>
      <c r="I6" s="20">
        <f>C6+D6+E6</f>
        <v>3.9</v>
      </c>
      <c r="J6" s="20">
        <f>AVERAGE(I6:I6)</f>
        <v>3.9</v>
      </c>
      <c r="K6" s="20"/>
      <c r="L6" s="20">
        <f>-H6+L5</f>
        <v>-6.7</v>
      </c>
      <c r="M6" s="20"/>
      <c r="N6" s="20"/>
    </row>
    <row r="7" ht="20.05" customHeight="1">
      <c r="B7" s="32"/>
      <c r="C7" s="19">
        <f>'Data'!G6-'Data'!G5</f>
        <v>0.1</v>
      </c>
      <c r="D7" s="20">
        <f>'Data'!H6-'Data'!H5</f>
        <v>-12.9</v>
      </c>
      <c r="E7" s="20"/>
      <c r="F7" s="20"/>
      <c r="G7" s="20"/>
      <c r="H7" s="20">
        <f>'Data'!I6-'Data'!I5</f>
        <v>14</v>
      </c>
      <c r="I7" s="20">
        <f>C7+D7+E7</f>
        <v>-12.8</v>
      </c>
      <c r="J7" s="20">
        <f>AVERAGE(I7:I7)</f>
        <v>-12.8</v>
      </c>
      <c r="K7" s="20"/>
      <c r="L7" s="20">
        <f>-H7+L6</f>
        <v>-20.7</v>
      </c>
      <c r="M7" s="20"/>
      <c r="N7" s="20"/>
    </row>
    <row r="8" ht="20.05" customHeight="1">
      <c r="B8" s="33">
        <v>2019</v>
      </c>
      <c r="C8" s="19">
        <f>'Data'!G7</f>
        <v>-2.7</v>
      </c>
      <c r="D8" s="20">
        <f>'Data'!H7</f>
        <v>-0.09</v>
      </c>
      <c r="E8" s="20"/>
      <c r="F8" s="20"/>
      <c r="G8" s="20"/>
      <c r="H8" s="20">
        <f>'Data'!I7</f>
        <v>-0.9</v>
      </c>
      <c r="I8" s="20">
        <f>C8+D8+E8</f>
        <v>-2.79</v>
      </c>
      <c r="J8" s="20">
        <f>AVERAGE(I8:I8)</f>
        <v>-2.79</v>
      </c>
      <c r="K8" s="20"/>
      <c r="L8" s="20">
        <f>-H8+L7</f>
        <v>-19.8</v>
      </c>
      <c r="M8" s="20"/>
      <c r="N8" s="20">
        <v>1</v>
      </c>
    </row>
    <row r="9" ht="20.05" customHeight="1">
      <c r="B9" s="32"/>
      <c r="C9" s="19">
        <f>'Data'!G8-'Data'!G7</f>
        <v>-7.8</v>
      </c>
      <c r="D9" s="20">
        <f>'Data'!H8-'Data'!H7</f>
        <v>9.69</v>
      </c>
      <c r="E9" s="20"/>
      <c r="F9" s="20"/>
      <c r="G9" s="20"/>
      <c r="H9" s="20">
        <f>'Data'!I8-'Data'!I7</f>
        <v>1.1</v>
      </c>
      <c r="I9" s="20">
        <f>C9+D9+E9</f>
        <v>1.89</v>
      </c>
      <c r="J9" s="20">
        <f>AVERAGE(I8:I9)</f>
        <v>-0.45</v>
      </c>
      <c r="K9" s="20"/>
      <c r="L9" s="20">
        <f>-H9+L8</f>
        <v>-20.9</v>
      </c>
      <c r="M9" s="20"/>
      <c r="N9" s="20">
        <f>1+N8</f>
        <v>2</v>
      </c>
    </row>
    <row r="10" ht="20.05" customHeight="1">
      <c r="B10" s="32"/>
      <c r="C10" s="19">
        <f>'Data'!G9-'Data'!G8</f>
        <v>-1</v>
      </c>
      <c r="D10" s="20">
        <f>'Data'!H9-'Data'!H8</f>
        <v>0.9</v>
      </c>
      <c r="E10" s="20"/>
      <c r="F10" s="20"/>
      <c r="G10" s="20"/>
      <c r="H10" s="20">
        <f>'Data'!I9-'Data'!I8</f>
        <v>-5.2</v>
      </c>
      <c r="I10" s="20">
        <f>C10+D10+E10</f>
        <v>-0.1</v>
      </c>
      <c r="J10" s="20">
        <f>AVERAGE(I8:I10)</f>
        <v>-0.333333333333333</v>
      </c>
      <c r="K10" s="20"/>
      <c r="L10" s="20">
        <f>-H10+L9</f>
        <v>-15.7</v>
      </c>
      <c r="M10" s="20"/>
      <c r="N10" s="20">
        <f>1+N9</f>
        <v>3</v>
      </c>
    </row>
    <row r="11" ht="20.05" customHeight="1">
      <c r="B11" s="32"/>
      <c r="C11" s="19">
        <f>'Data'!G10-'Data'!G9</f>
        <v>8.5</v>
      </c>
      <c r="D11" s="20">
        <f>'Data'!H10-'Data'!H9</f>
        <v>-5.6</v>
      </c>
      <c r="E11" s="20"/>
      <c r="F11" s="20"/>
      <c r="G11" s="20"/>
      <c r="H11" s="20">
        <f>'Data'!I10-'Data'!I9</f>
        <v>1.2</v>
      </c>
      <c r="I11" s="20">
        <f>C11+D11+E11</f>
        <v>2.9</v>
      </c>
      <c r="J11" s="20">
        <f>AVERAGE(I8:I11)</f>
        <v>0.475</v>
      </c>
      <c r="K11" s="20"/>
      <c r="L11" s="20">
        <f>-H11+L10</f>
        <v>-16.9</v>
      </c>
      <c r="M11" s="20"/>
      <c r="N11" s="20">
        <f>1+N10</f>
        <v>4</v>
      </c>
    </row>
    <row r="12" ht="20.05" customHeight="1">
      <c r="B12" s="33">
        <v>2020</v>
      </c>
      <c r="C12" s="19">
        <f>'Data'!G11</f>
        <v>3.1</v>
      </c>
      <c r="D12" s="20">
        <f>'Data'!H11</f>
        <v>-1.7</v>
      </c>
      <c r="E12" s="20"/>
      <c r="F12" s="20"/>
      <c r="G12" s="20"/>
      <c r="H12" s="20">
        <f>'Data'!I11</f>
        <v>-1.9</v>
      </c>
      <c r="I12" s="20">
        <f>C12+D12+E12</f>
        <v>1.4</v>
      </c>
      <c r="J12" s="20">
        <f>AVERAGE(I9:I12)</f>
        <v>1.5225</v>
      </c>
      <c r="K12" s="20"/>
      <c r="L12" s="20">
        <f>-H12+L11</f>
        <v>-15</v>
      </c>
      <c r="M12" s="20"/>
      <c r="N12" s="20">
        <f>1+N11</f>
        <v>5</v>
      </c>
    </row>
    <row r="13" ht="20.05" customHeight="1">
      <c r="B13" s="32"/>
      <c r="C13" s="19">
        <f>'Data'!G12-'Data'!G11</f>
        <v>-5.7</v>
      </c>
      <c r="D13" s="20">
        <f>'Data'!H12-'Data'!H11</f>
        <v>-1.4</v>
      </c>
      <c r="E13" s="20"/>
      <c r="F13" s="20"/>
      <c r="G13" s="20"/>
      <c r="H13" s="20">
        <f>'Data'!I12-'Data'!I11</f>
        <v>7.2</v>
      </c>
      <c r="I13" s="20">
        <f>C13+D13+E13</f>
        <v>-7.1</v>
      </c>
      <c r="J13" s="20">
        <f>AVERAGE(I10:I13)</f>
        <v>-0.725</v>
      </c>
      <c r="K13" s="20"/>
      <c r="L13" s="20">
        <f>-H13+L12</f>
        <v>-22.2</v>
      </c>
      <c r="M13" s="20"/>
      <c r="N13" s="20">
        <f>1+N12</f>
        <v>6</v>
      </c>
    </row>
    <row r="14" ht="20.05" customHeight="1">
      <c r="B14" s="32"/>
      <c r="C14" s="19">
        <f>'Data'!G13-'Data'!G12</f>
        <v>-5.2</v>
      </c>
      <c r="D14" s="20">
        <f>'Data'!H13-'Data'!H12</f>
        <v>-3.1</v>
      </c>
      <c r="E14" s="20"/>
      <c r="F14" s="20"/>
      <c r="G14" s="20"/>
      <c r="H14" s="20">
        <f>'Data'!I13-'Data'!I12</f>
        <v>10.7</v>
      </c>
      <c r="I14" s="20">
        <f>C14+D14+E14</f>
        <v>-8.300000000000001</v>
      </c>
      <c r="J14" s="20">
        <f>AVERAGE(I11:I14)</f>
        <v>-2.775</v>
      </c>
      <c r="K14" s="20"/>
      <c r="L14" s="20">
        <f>-H14+L13</f>
        <v>-32.9</v>
      </c>
      <c r="M14" s="20"/>
      <c r="N14" s="20">
        <f>1+N13</f>
        <v>7</v>
      </c>
    </row>
    <row r="15" ht="20.05" customHeight="1">
      <c r="B15" s="32"/>
      <c r="C15" s="19">
        <f>'Data'!G14-'Data'!G13</f>
        <v>2.2</v>
      </c>
      <c r="D15" s="20">
        <f>'Data'!H14-'Data'!H13</f>
        <v>0.1</v>
      </c>
      <c r="E15" s="20"/>
      <c r="F15" s="20"/>
      <c r="G15" s="20"/>
      <c r="H15" s="20">
        <f>'Data'!I14-'Data'!I13</f>
        <v>-3.2</v>
      </c>
      <c r="I15" s="20">
        <f>C15+D15+E15</f>
        <v>2.3</v>
      </c>
      <c r="J15" s="20">
        <f>AVERAGE(I12:I15)</f>
        <v>-2.925</v>
      </c>
      <c r="K15" s="20"/>
      <c r="L15" s="20">
        <f>-H15+L14</f>
        <v>-29.7</v>
      </c>
      <c r="M15" s="20"/>
      <c r="N15" s="20">
        <f>1+N14</f>
        <v>8</v>
      </c>
    </row>
    <row r="16" ht="20.05" customHeight="1">
      <c r="B16" s="33">
        <v>2021</v>
      </c>
      <c r="C16" s="19">
        <f>'Data'!G15</f>
        <v>8.199999999999999</v>
      </c>
      <c r="D16" s="20">
        <f>'Data'!H15</f>
        <v>0.5</v>
      </c>
      <c r="E16" s="20">
        <v>-1.43333333333333</v>
      </c>
      <c r="F16" s="20"/>
      <c r="G16" s="20"/>
      <c r="H16" s="20">
        <f>'Data'!I15</f>
        <v>-12.2</v>
      </c>
      <c r="I16" s="20">
        <f>C16+D16+E16</f>
        <v>7.26666666666667</v>
      </c>
      <c r="J16" s="20">
        <f>AVERAGE(I13:I16)</f>
        <v>-1.45833333333333</v>
      </c>
      <c r="K16" s="20"/>
      <c r="L16" s="20">
        <f>-H16+L15</f>
        <v>-17.5</v>
      </c>
      <c r="M16" s="20"/>
      <c r="N16" s="20">
        <f>1+N15</f>
        <v>9</v>
      </c>
    </row>
    <row r="17" ht="20.05" customHeight="1">
      <c r="B17" s="32"/>
      <c r="C17" s="19">
        <f>'Data'!G16-'Data'!G15</f>
        <v>-22.6</v>
      </c>
      <c r="D17" s="20">
        <f>'Data'!H16-'Data'!H15</f>
        <v>0.5</v>
      </c>
      <c r="E17" s="20">
        <v>-1.43333333333333</v>
      </c>
      <c r="F17" s="20">
        <v>13.8</v>
      </c>
      <c r="G17" s="20"/>
      <c r="H17" s="20">
        <f>'Data'!I16-'Data'!I15</f>
        <v>23.8</v>
      </c>
      <c r="I17" s="20">
        <f>C17+D17+E17</f>
        <v>-23.5333333333333</v>
      </c>
      <c r="J17" s="20">
        <f>AVERAGE(I14:I17)</f>
        <v>-5.56666666666666</v>
      </c>
      <c r="K17" s="20"/>
      <c r="L17" s="20">
        <f>-H17+L16</f>
        <v>-41.3</v>
      </c>
      <c r="M17" s="20"/>
      <c r="N17" s="20">
        <f>1+N16</f>
        <v>10</v>
      </c>
    </row>
    <row r="18" ht="20.05" customHeight="1">
      <c r="B18" s="32"/>
      <c r="C18" s="19">
        <f>'Data'!G17-'Data'!G16</f>
        <v>12.6</v>
      </c>
      <c r="D18" s="20">
        <f>'Data'!H17-'Data'!H16</f>
        <v>-1.8</v>
      </c>
      <c r="E18" s="20">
        <v>-1.43333333333333</v>
      </c>
      <c r="F18" s="20">
        <f>9.8-F17</f>
        <v>-4</v>
      </c>
      <c r="G18" s="20"/>
      <c r="H18" s="20">
        <f>'Data'!I17-'Data'!I16</f>
        <v>-6.2</v>
      </c>
      <c r="I18" s="20">
        <f>C18+D18+E18</f>
        <v>9.366666666666671</v>
      </c>
      <c r="J18" s="20">
        <f>AVERAGE(I15:I18)</f>
        <v>-1.14999999999999</v>
      </c>
      <c r="K18" s="20">
        <f>J18</f>
        <v>-1.14999999999999</v>
      </c>
      <c r="L18" s="20">
        <f>-H18+L17</f>
        <v>-35.1</v>
      </c>
      <c r="M18" s="20">
        <f>L18</f>
        <v>-35.1</v>
      </c>
      <c r="N18" s="20">
        <f>1+N17</f>
        <v>11</v>
      </c>
    </row>
    <row r="19" ht="20.05" customHeight="1">
      <c r="B19" s="32"/>
      <c r="C19" s="19"/>
      <c r="D19" s="20"/>
      <c r="E19" s="20"/>
      <c r="F19" s="20"/>
      <c r="G19" s="20"/>
      <c r="H19" s="20"/>
      <c r="I19" s="20"/>
      <c r="J19" s="20"/>
      <c r="K19" s="20">
        <f>SUM('Model'!F9:F10)</f>
        <v>0.957850595445933</v>
      </c>
      <c r="L19" s="20"/>
      <c r="M19" s="20">
        <f>'Model'!F33</f>
        <v>-31.4784756702366</v>
      </c>
      <c r="N19" s="20">
        <f>1+N18</f>
        <v>12</v>
      </c>
    </row>
  </sheetData>
  <mergeCells count="1">
    <mergeCell ref="B2:N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1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7" customWidth="1"/>
    <col min="2" max="2" width="6.26562" style="37" customWidth="1"/>
    <col min="3" max="11" width="11.1641" style="37" customWidth="1"/>
    <col min="12" max="16384" width="16.3516" style="37" customWidth="1"/>
  </cols>
  <sheetData>
    <row r="1" ht="35.7" customHeight="1"/>
    <row r="2" ht="27.65" customHeight="1">
      <c r="B2" t="s" s="2">
        <v>50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51</v>
      </c>
      <c r="C3" t="s" s="4">
        <v>52</v>
      </c>
      <c r="D3" t="s" s="4">
        <v>50</v>
      </c>
      <c r="E3" t="s" s="4">
        <v>23</v>
      </c>
      <c r="F3" t="s" s="4">
        <v>24</v>
      </c>
      <c r="G3" t="s" s="4">
        <v>11</v>
      </c>
      <c r="H3" t="s" s="4">
        <v>26</v>
      </c>
      <c r="I3" t="s" s="4">
        <v>27</v>
      </c>
      <c r="J3" t="s" s="4">
        <v>28</v>
      </c>
      <c r="K3" t="s" s="4">
        <v>36</v>
      </c>
    </row>
    <row r="4" ht="20.25" customHeight="1">
      <c r="B4" s="28">
        <v>2019</v>
      </c>
      <c r="C4" s="36">
        <f>'Data'!B7</f>
        <v>5.2</v>
      </c>
      <c r="D4" s="30">
        <f>'Data'!C7</f>
        <v>343</v>
      </c>
      <c r="E4" s="30">
        <f>D4-C4</f>
        <v>337.8</v>
      </c>
      <c r="F4" s="30"/>
      <c r="G4" s="30">
        <f>'Data'!D7</f>
        <v>182</v>
      </c>
      <c r="H4" s="30">
        <f>D4-G4</f>
        <v>161</v>
      </c>
      <c r="I4" s="30">
        <f>G4+H4-C4-E4</f>
        <v>0</v>
      </c>
      <c r="J4" s="30">
        <f>C4-G4</f>
        <v>-176.8</v>
      </c>
      <c r="K4" s="30"/>
    </row>
    <row r="5" ht="20.05" customHeight="1">
      <c r="B5" s="32"/>
      <c r="C5" s="19">
        <f>'Data'!B8</f>
        <v>8.699999999999999</v>
      </c>
      <c r="D5" s="20">
        <f>'Data'!C8</f>
        <v>351</v>
      </c>
      <c r="E5" s="20">
        <f>D5-C5</f>
        <v>342.3</v>
      </c>
      <c r="F5" s="20"/>
      <c r="G5" s="20">
        <f>'Data'!D8</f>
        <v>190</v>
      </c>
      <c r="H5" s="20">
        <f>D5-G5</f>
        <v>161</v>
      </c>
      <c r="I5" s="20">
        <f>G5+H5-C5-E5</f>
        <v>0</v>
      </c>
      <c r="J5" s="20">
        <f>C5-G5</f>
        <v>-181.3</v>
      </c>
      <c r="K5" s="20"/>
    </row>
    <row r="6" ht="20.05" customHeight="1">
      <c r="B6" s="32"/>
      <c r="C6" s="19">
        <f>'Data'!B9</f>
        <v>3.3</v>
      </c>
      <c r="D6" s="20">
        <f>'Data'!C9</f>
        <v>330</v>
      </c>
      <c r="E6" s="20">
        <f>D6-C6</f>
        <v>326.7</v>
      </c>
      <c r="F6" s="20"/>
      <c r="G6" s="20">
        <f>'Data'!D9</f>
        <v>173</v>
      </c>
      <c r="H6" s="20">
        <f>D6-G6</f>
        <v>157</v>
      </c>
      <c r="I6" s="20">
        <f>G6+H6-C6-E6</f>
        <v>0</v>
      </c>
      <c r="J6" s="20">
        <f>C6-G6</f>
        <v>-169.7</v>
      </c>
      <c r="K6" s="20"/>
    </row>
    <row r="7" ht="20.05" customHeight="1">
      <c r="B7" s="32"/>
      <c r="C7" s="19">
        <f>'Data'!B10</f>
        <v>6.2</v>
      </c>
      <c r="D7" s="20">
        <f>'Data'!C10</f>
        <v>340</v>
      </c>
      <c r="E7" s="20">
        <f>D7-C7</f>
        <v>333.8</v>
      </c>
      <c r="F7" s="20"/>
      <c r="G7" s="20">
        <f>'Data'!D10</f>
        <v>174</v>
      </c>
      <c r="H7" s="20">
        <f>D7-G7</f>
        <v>166</v>
      </c>
      <c r="I7" s="20">
        <f>G7+H7-C7-E7</f>
        <v>0</v>
      </c>
      <c r="J7" s="20">
        <f>C7-G7</f>
        <v>-167.8</v>
      </c>
      <c r="K7" s="20"/>
    </row>
    <row r="8" ht="20.05" customHeight="1">
      <c r="B8" s="33">
        <v>2020</v>
      </c>
      <c r="C8" s="19">
        <f>'Data'!B11</f>
        <v>5.5</v>
      </c>
      <c r="D8" s="20">
        <f>'Data'!C11</f>
        <v>339</v>
      </c>
      <c r="E8" s="20">
        <f>D8-C8</f>
        <v>333.5</v>
      </c>
      <c r="F8" s="20"/>
      <c r="G8" s="20">
        <f>'Data'!D11</f>
        <v>173</v>
      </c>
      <c r="H8" s="20">
        <f>D8-G8</f>
        <v>166</v>
      </c>
      <c r="I8" s="20">
        <f>G8+H8-C8-E8</f>
        <v>0</v>
      </c>
      <c r="J8" s="20">
        <f>C8-G8</f>
        <v>-167.5</v>
      </c>
      <c r="K8" s="20"/>
    </row>
    <row r="9" ht="20.05" customHeight="1">
      <c r="B9" s="32"/>
      <c r="C9" s="19">
        <f>'Data'!B12</f>
        <v>5.7</v>
      </c>
      <c r="D9" s="20">
        <f>'Data'!C12</f>
        <v>347</v>
      </c>
      <c r="E9" s="20">
        <f>D9-C9</f>
        <v>341.3</v>
      </c>
      <c r="F9" s="20"/>
      <c r="G9" s="20">
        <f>'Data'!D12</f>
        <v>180</v>
      </c>
      <c r="H9" s="20">
        <f>D9-G9</f>
        <v>167</v>
      </c>
      <c r="I9" s="20">
        <f>G9+H9-C9-E9</f>
        <v>0</v>
      </c>
      <c r="J9" s="20">
        <f>C9-G9</f>
        <v>-174.3</v>
      </c>
      <c r="K9" s="20"/>
    </row>
    <row r="10" ht="20.05" customHeight="1">
      <c r="B10" s="32"/>
      <c r="C10" s="19">
        <f>'Data'!B13</f>
        <v>8.1</v>
      </c>
      <c r="D10" s="20">
        <f>'Data'!C13</f>
        <v>352</v>
      </c>
      <c r="E10" s="20">
        <f>D10-C10</f>
        <v>343.9</v>
      </c>
      <c r="F10" s="20"/>
      <c r="G10" s="20">
        <f>'Data'!D13</f>
        <v>185</v>
      </c>
      <c r="H10" s="20">
        <f>D10-G10</f>
        <v>167</v>
      </c>
      <c r="I10" s="20">
        <f>G10+H10-C10-E10</f>
        <v>0</v>
      </c>
      <c r="J10" s="20">
        <f>C10-G10</f>
        <v>-176.9</v>
      </c>
      <c r="K10" s="20"/>
    </row>
    <row r="11" ht="20.05" customHeight="1">
      <c r="B11" s="32"/>
      <c r="C11" s="19">
        <f>'Data'!B14</f>
        <v>8.300000000000001</v>
      </c>
      <c r="D11" s="20">
        <f>'Data'!C14</f>
        <v>345</v>
      </c>
      <c r="E11" s="20">
        <f>D11-C11</f>
        <v>336.7</v>
      </c>
      <c r="F11" s="20"/>
      <c r="G11" s="20">
        <f>'Data'!D14</f>
        <v>183</v>
      </c>
      <c r="H11" s="20">
        <f>D11-G11</f>
        <v>162</v>
      </c>
      <c r="I11" s="20">
        <f>G11+H11-C11-E11</f>
        <v>0</v>
      </c>
      <c r="J11" s="20">
        <f>C11-G11</f>
        <v>-174.7</v>
      </c>
      <c r="K11" s="20"/>
    </row>
    <row r="12" ht="20.05" customHeight="1">
      <c r="B12" s="33">
        <v>2021</v>
      </c>
      <c r="C12" s="19">
        <f>'Data'!B15</f>
        <v>4.8</v>
      </c>
      <c r="D12" s="20">
        <f>'Data'!C15</f>
        <v>334</v>
      </c>
      <c r="E12" s="20">
        <f>D12-C12</f>
        <v>329.2</v>
      </c>
      <c r="F12" s="20"/>
      <c r="G12" s="20">
        <f>'Data'!D15</f>
        <v>173</v>
      </c>
      <c r="H12" s="20">
        <f>D12-G12</f>
        <v>161</v>
      </c>
      <c r="I12" s="20">
        <f>G12+H12-C12-E12</f>
        <v>0</v>
      </c>
      <c r="J12" s="20">
        <f>C12-G12</f>
        <v>-168.2</v>
      </c>
      <c r="K12" s="20"/>
    </row>
    <row r="13" ht="20.05" customHeight="1">
      <c r="B13" s="32"/>
      <c r="C13" s="19">
        <f>'Data'!B16</f>
        <v>6.3</v>
      </c>
      <c r="D13" s="20">
        <f>'Data'!C16</f>
        <v>358</v>
      </c>
      <c r="E13" s="20">
        <f>D13-C13</f>
        <v>351.7</v>
      </c>
      <c r="F13" s="20"/>
      <c r="G13" s="20">
        <f>'Data'!D16</f>
        <v>195</v>
      </c>
      <c r="H13" s="20">
        <f>D13-G13</f>
        <v>163</v>
      </c>
      <c r="I13" s="20">
        <f>G13+H13-C13-E13</f>
        <v>0</v>
      </c>
      <c r="J13" s="20">
        <f>C13-G13</f>
        <v>-188.7</v>
      </c>
      <c r="K13" s="20"/>
    </row>
    <row r="14" ht="20.05" customHeight="1">
      <c r="B14" s="32"/>
      <c r="C14" s="19">
        <f>'Data'!B17</f>
        <v>11.2</v>
      </c>
      <c r="D14" s="20">
        <f>'Data'!C17</f>
        <v>359</v>
      </c>
      <c r="E14" s="20">
        <f>D14-C14</f>
        <v>347.8</v>
      </c>
      <c r="F14" s="20">
        <f>SUM('Sales'!E8:E18)</f>
        <v>9.1</v>
      </c>
      <c r="G14" s="20">
        <f>'Data'!D17</f>
        <v>197</v>
      </c>
      <c r="H14" s="20">
        <f>D14-G14</f>
        <v>162</v>
      </c>
      <c r="I14" s="20">
        <f>G14+H14-C14-E14</f>
        <v>0</v>
      </c>
      <c r="J14" s="20">
        <f>C14-G14</f>
        <v>-185.8</v>
      </c>
      <c r="K14" s="20">
        <f>J14</f>
        <v>-185.8</v>
      </c>
    </row>
    <row r="15" ht="20.05" customHeight="1">
      <c r="B15" s="32"/>
      <c r="C15" s="38"/>
      <c r="D15" s="25"/>
      <c r="E15" s="25"/>
      <c r="F15" s="25"/>
      <c r="G15" s="25"/>
      <c r="H15" s="25"/>
      <c r="I15" s="25"/>
      <c r="J15" s="25"/>
      <c r="K15" s="24">
        <f>'Model'!F31</f>
        <v>-182.178475670237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1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66406" style="39" customWidth="1"/>
    <col min="2" max="2" width="8.35156" style="39" customWidth="1"/>
    <col min="3" max="3" width="8.73438" style="39" customWidth="1"/>
    <col min="4" max="5" width="8.53125" style="39" customWidth="1"/>
    <col min="6" max="16384" width="16.3516" style="39" customWidth="1"/>
  </cols>
  <sheetData>
    <row r="1" ht="31.85" customHeight="1"/>
    <row r="2" ht="27.65" customHeight="1">
      <c r="B2" t="s" s="2">
        <v>53</v>
      </c>
      <c r="C2" s="2"/>
      <c r="D2" s="2"/>
      <c r="E2" s="2"/>
    </row>
    <row r="3" ht="20.25" customHeight="1">
      <c r="B3" s="5"/>
      <c r="C3" t="s" s="40">
        <v>54</v>
      </c>
      <c r="D3" t="s" s="40">
        <v>39</v>
      </c>
      <c r="E3" t="s" s="40">
        <v>55</v>
      </c>
    </row>
    <row r="4" ht="20.25" customHeight="1">
      <c r="B4" s="28">
        <v>2019</v>
      </c>
      <c r="C4" s="41">
        <v>248</v>
      </c>
      <c r="D4" s="30"/>
      <c r="E4" s="30"/>
    </row>
    <row r="5" ht="20.05" customHeight="1">
      <c r="B5" s="32"/>
      <c r="C5" s="42">
        <v>234</v>
      </c>
      <c r="D5" s="20"/>
      <c r="E5" s="20"/>
    </row>
    <row r="6" ht="20.05" customHeight="1">
      <c r="B6" s="32"/>
      <c r="C6" s="42">
        <v>254</v>
      </c>
      <c r="D6" s="20"/>
      <c r="E6" s="20"/>
    </row>
    <row r="7" ht="20.05" customHeight="1">
      <c r="B7" s="32"/>
      <c r="C7" s="42">
        <v>250</v>
      </c>
      <c r="D7" s="20"/>
      <c r="E7" s="20"/>
    </row>
    <row r="8" ht="20.05" customHeight="1">
      <c r="B8" s="33">
        <v>2020</v>
      </c>
      <c r="C8" s="42">
        <v>296</v>
      </c>
      <c r="D8" s="20"/>
      <c r="E8" s="20"/>
    </row>
    <row r="9" ht="20.05" customHeight="1">
      <c r="B9" s="32"/>
      <c r="C9" s="42">
        <v>278</v>
      </c>
      <c r="D9" s="20"/>
      <c r="E9" s="20"/>
    </row>
    <row r="10" ht="20.05" customHeight="1">
      <c r="B10" s="32"/>
      <c r="C10" s="42">
        <v>264</v>
      </c>
      <c r="D10" s="20"/>
      <c r="E10" s="20"/>
    </row>
    <row r="11" ht="20.05" customHeight="1">
      <c r="B11" s="32"/>
      <c r="C11" s="42">
        <v>260</v>
      </c>
      <c r="D11" s="20"/>
      <c r="E11" s="20"/>
    </row>
    <row r="12" ht="20.05" customHeight="1">
      <c r="B12" s="33">
        <v>2021</v>
      </c>
      <c r="C12" s="42">
        <v>266</v>
      </c>
      <c r="D12" s="20"/>
      <c r="E12" s="20"/>
    </row>
    <row r="13" ht="20.05" customHeight="1">
      <c r="B13" s="32"/>
      <c r="C13" s="42">
        <v>585</v>
      </c>
      <c r="D13" s="20"/>
      <c r="E13" s="20"/>
    </row>
    <row r="14" ht="20.05" customHeight="1">
      <c r="B14" s="32"/>
      <c r="C14" s="42">
        <v>382</v>
      </c>
      <c r="D14" s="20"/>
      <c r="E14" s="20"/>
    </row>
    <row r="15" ht="20.05" customHeight="1">
      <c r="B15" s="32"/>
      <c r="C15" s="42">
        <v>442</v>
      </c>
      <c r="D15" s="20"/>
      <c r="E15" s="20"/>
    </row>
    <row r="16" ht="20.05" customHeight="1">
      <c r="B16" s="33">
        <v>2022</v>
      </c>
      <c r="C16" s="23">
        <v>422</v>
      </c>
      <c r="D16" s="20"/>
      <c r="E16" s="25"/>
    </row>
    <row r="17" ht="20.05" customHeight="1">
      <c r="B17" s="32"/>
      <c r="C17" s="42">
        <v>390</v>
      </c>
      <c r="D17" s="20">
        <f>C17</f>
        <v>390</v>
      </c>
      <c r="E17" s="20"/>
    </row>
    <row r="18" ht="20.05" customHeight="1">
      <c r="B18" s="32"/>
      <c r="C18" s="42"/>
      <c r="D18" s="20">
        <f>'Model'!F44</f>
        <v>153.976374564776</v>
      </c>
      <c r="E18" s="20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B3:U4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32031" style="43" customWidth="1"/>
    <col min="2" max="9" width="12.3984" style="43" customWidth="1"/>
    <col min="10" max="21" width="11.375" style="44" customWidth="1"/>
    <col min="22" max="16384" width="16.3516" style="44" customWidth="1"/>
  </cols>
  <sheetData>
    <row r="1" ht="10.45" customHeight="1"/>
    <row r="2" ht="27.65" customHeight="1">
      <c r="B2" t="s" s="2">
        <v>56</v>
      </c>
      <c r="C2" s="2"/>
      <c r="D2" s="2"/>
      <c r="E2" s="2"/>
      <c r="F2" s="2"/>
      <c r="G2" s="2"/>
      <c r="H2" s="2"/>
      <c r="I2" s="2"/>
    </row>
    <row r="3" ht="20.25" customHeight="1">
      <c r="B3" t="s" s="4">
        <v>1</v>
      </c>
      <c r="C3" t="s" s="4">
        <v>11</v>
      </c>
      <c r="D3" t="s" s="4">
        <v>26</v>
      </c>
      <c r="E3" t="s" s="4">
        <v>57</v>
      </c>
      <c r="F3" t="s" s="4">
        <v>11</v>
      </c>
      <c r="G3" t="s" s="4">
        <v>26</v>
      </c>
      <c r="H3" t="s" s="4">
        <v>57</v>
      </c>
      <c r="I3" s="5"/>
    </row>
    <row r="4" ht="20.25" customHeight="1">
      <c r="B4" s="28">
        <v>2005</v>
      </c>
      <c r="C4" s="36">
        <v>-3</v>
      </c>
      <c r="D4" s="30"/>
      <c r="E4" s="30">
        <f>C4+D4</f>
        <v>-3</v>
      </c>
      <c r="F4" s="30">
        <f>C4</f>
        <v>-3</v>
      </c>
      <c r="G4" s="30">
        <f>D4</f>
        <v>0</v>
      </c>
      <c r="H4" s="30">
        <f>E4</f>
        <v>-3</v>
      </c>
      <c r="I4" s="8"/>
    </row>
    <row r="5" ht="20.05" customHeight="1">
      <c r="B5" s="33">
        <f>1+$B4</f>
        <v>2006</v>
      </c>
      <c r="C5" s="19">
        <f>-11.5-40.5+77+38</f>
        <v>63</v>
      </c>
      <c r="D5" s="20"/>
      <c r="E5" s="20">
        <f>C5+D5</f>
        <v>63</v>
      </c>
      <c r="F5" s="20">
        <f>C5+F4</f>
        <v>60</v>
      </c>
      <c r="G5" s="20">
        <f>D5+G4</f>
        <v>0</v>
      </c>
      <c r="H5" s="20">
        <f>E5+H4</f>
        <v>60</v>
      </c>
      <c r="I5" s="25"/>
    </row>
    <row r="6" ht="20.05" customHeight="1">
      <c r="B6" s="33">
        <f>1+$B5</f>
        <v>2007</v>
      </c>
      <c r="C6" s="19">
        <f>32-21-16</f>
        <v>-5</v>
      </c>
      <c r="D6" s="20"/>
      <c r="E6" s="20">
        <f>C6+D6</f>
        <v>-5</v>
      </c>
      <c r="F6" s="20">
        <f>C6+F5</f>
        <v>55</v>
      </c>
      <c r="G6" s="20">
        <f>D6+G5</f>
        <v>0</v>
      </c>
      <c r="H6" s="20">
        <f>E6+H5</f>
        <v>55</v>
      </c>
      <c r="I6" s="25"/>
    </row>
    <row r="7" ht="20.05" customHeight="1">
      <c r="B7" s="33">
        <f>1+$B6</f>
        <v>2008</v>
      </c>
      <c r="C7" s="19">
        <f>2-23</f>
        <v>-21</v>
      </c>
      <c r="D7" s="20"/>
      <c r="E7" s="20">
        <f>C7+D7</f>
        <v>-21</v>
      </c>
      <c r="F7" s="20">
        <f>C7+F6</f>
        <v>34</v>
      </c>
      <c r="G7" s="20">
        <f>D7+G6</f>
        <v>0</v>
      </c>
      <c r="H7" s="20">
        <f>E7+H6</f>
        <v>34</v>
      </c>
      <c r="I7" s="25"/>
    </row>
    <row r="8" ht="20.05" customHeight="1">
      <c r="B8" s="33">
        <f>1+$B7</f>
        <v>2009</v>
      </c>
      <c r="C8" s="19">
        <f>-25</f>
        <v>-25</v>
      </c>
      <c r="D8" s="20"/>
      <c r="E8" s="20">
        <f>C8+D8</f>
        <v>-25</v>
      </c>
      <c r="F8" s="20">
        <f>C8+F7</f>
        <v>9</v>
      </c>
      <c r="G8" s="20">
        <f>D8+G7</f>
        <v>0</v>
      </c>
      <c r="H8" s="20">
        <f>E8+H7</f>
        <v>9</v>
      </c>
      <c r="I8" s="25"/>
    </row>
    <row r="9" ht="20.05" customHeight="1">
      <c r="B9" s="33">
        <f>1+$B8</f>
        <v>2010</v>
      </c>
      <c r="C9" s="19">
        <f>67+20-62-11</f>
        <v>14</v>
      </c>
      <c r="D9" s="20"/>
      <c r="E9" s="20">
        <f>C9+D9</f>
        <v>14</v>
      </c>
      <c r="F9" s="20">
        <f>C9+F8</f>
        <v>23</v>
      </c>
      <c r="G9" s="20">
        <f>D9+G8</f>
        <v>0</v>
      </c>
      <c r="H9" s="20">
        <f>E9+H8</f>
        <v>23</v>
      </c>
      <c r="I9" s="25"/>
    </row>
    <row r="10" ht="20.05" customHeight="1">
      <c r="B10" s="33">
        <f>1+$B9</f>
        <v>2011</v>
      </c>
      <c r="C10" s="19">
        <f>15-20-3</f>
        <v>-8</v>
      </c>
      <c r="D10" s="20"/>
      <c r="E10" s="20">
        <f>C10+D10</f>
        <v>-8</v>
      </c>
      <c r="F10" s="20">
        <f>C10+F9</f>
        <v>15</v>
      </c>
      <c r="G10" s="20">
        <f>D10+G9</f>
        <v>0</v>
      </c>
      <c r="H10" s="20">
        <f>E10+H9</f>
        <v>15</v>
      </c>
      <c r="I10" s="25"/>
    </row>
    <row r="11" ht="20.05" customHeight="1">
      <c r="B11" s="33">
        <f>1+$B10</f>
        <v>2012</v>
      </c>
      <c r="C11" s="19">
        <f>18-12</f>
        <v>6</v>
      </c>
      <c r="D11" s="20">
        <v>-1.6</v>
      </c>
      <c r="E11" s="20">
        <f>C11+D11</f>
        <v>4.4</v>
      </c>
      <c r="F11" s="20">
        <f>C11+F10</f>
        <v>21</v>
      </c>
      <c r="G11" s="20">
        <f>D11+G10</f>
        <v>-1.6</v>
      </c>
      <c r="H11" s="20">
        <f>E11+H10</f>
        <v>19.4</v>
      </c>
      <c r="I11" s="25"/>
    </row>
    <row r="12" ht="20.05" customHeight="1">
      <c r="B12" s="33">
        <f>1+$B11</f>
        <v>2013</v>
      </c>
      <c r="C12" s="19">
        <v>-7.4</v>
      </c>
      <c r="D12" s="20">
        <v>-5</v>
      </c>
      <c r="E12" s="20">
        <f>C12+D12</f>
        <v>-12.4</v>
      </c>
      <c r="F12" s="20">
        <f>C12+F11</f>
        <v>13.6</v>
      </c>
      <c r="G12" s="20">
        <f>D12+G11</f>
        <v>-6.6</v>
      </c>
      <c r="H12" s="20">
        <f>E12+H11</f>
        <v>7</v>
      </c>
      <c r="I12" s="25"/>
    </row>
    <row r="13" ht="20.05" customHeight="1">
      <c r="B13" s="33">
        <f>1+$B12</f>
        <v>2014</v>
      </c>
      <c r="C13" s="19">
        <v>-9</v>
      </c>
      <c r="D13" s="20">
        <v>0</v>
      </c>
      <c r="E13" s="20">
        <f>C13+D13</f>
        <v>-9</v>
      </c>
      <c r="F13" s="20">
        <f>C13+F12</f>
        <v>4.6</v>
      </c>
      <c r="G13" s="20">
        <f>D13+G12</f>
        <v>-6.6</v>
      </c>
      <c r="H13" s="20">
        <f>E13+H12</f>
        <v>-2</v>
      </c>
      <c r="I13" s="25"/>
    </row>
    <row r="14" ht="20.05" customHeight="1">
      <c r="B14" s="33">
        <f>1+$B13</f>
        <v>2015</v>
      </c>
      <c r="C14" s="19">
        <v>-29</v>
      </c>
      <c r="D14" s="20">
        <v>-1</v>
      </c>
      <c r="E14" s="20">
        <f>C14+D14</f>
        <v>-30</v>
      </c>
      <c r="F14" s="20">
        <f>C14+F13</f>
        <v>-24.4</v>
      </c>
      <c r="G14" s="20">
        <f>D14+G13</f>
        <v>-7.6</v>
      </c>
      <c r="H14" s="20">
        <f>E14+H13</f>
        <v>-32</v>
      </c>
      <c r="I14" s="25"/>
    </row>
    <row r="15" ht="20.05" customHeight="1">
      <c r="B15" s="33">
        <f>1+$B14</f>
        <v>2016</v>
      </c>
      <c r="C15" s="19">
        <f>114-74</f>
        <v>40</v>
      </c>
      <c r="D15" s="20">
        <v>0</v>
      </c>
      <c r="E15" s="20">
        <f>C15+D15</f>
        <v>40</v>
      </c>
      <c r="F15" s="20">
        <f>C15+F14</f>
        <v>15.6</v>
      </c>
      <c r="G15" s="20">
        <f>D15+G14</f>
        <v>-7.6</v>
      </c>
      <c r="H15" s="20">
        <f>E15+H14</f>
        <v>8</v>
      </c>
      <c r="I15" s="25"/>
    </row>
    <row r="16" ht="20.05" customHeight="1">
      <c r="B16" s="33">
        <f>1+$B15</f>
        <v>2017</v>
      </c>
      <c r="C16" s="19">
        <f>88-82</f>
        <v>6</v>
      </c>
      <c r="D16" s="20"/>
      <c r="E16" s="20">
        <f>C16+D16</f>
        <v>6</v>
      </c>
      <c r="F16" s="20">
        <f>C16+F15</f>
        <v>21.6</v>
      </c>
      <c r="G16" s="20">
        <f>D16+G15</f>
        <v>-7.6</v>
      </c>
      <c r="H16" s="20">
        <f>E16+H15</f>
        <v>14</v>
      </c>
      <c r="I16" s="25"/>
    </row>
    <row r="17" ht="20.05" customHeight="1">
      <c r="B17" s="33">
        <f>1+$B16</f>
        <v>2018</v>
      </c>
      <c r="C17" s="19">
        <f>123-116</f>
        <v>7</v>
      </c>
      <c r="D17" s="20"/>
      <c r="E17" s="20">
        <f>C17+D17</f>
        <v>7</v>
      </c>
      <c r="F17" s="20">
        <f>C17+F16</f>
        <v>28.6</v>
      </c>
      <c r="G17" s="20">
        <f>D17+G16</f>
        <v>-7.6</v>
      </c>
      <c r="H17" s="20">
        <f>E17+H16</f>
        <v>21</v>
      </c>
      <c r="I17" s="25"/>
    </row>
    <row r="18" ht="20.05" customHeight="1">
      <c r="B18" s="33">
        <f>1+$B17</f>
        <v>2019</v>
      </c>
      <c r="C18" s="19">
        <f>108-112</f>
        <v>-4</v>
      </c>
      <c r="D18" s="20"/>
      <c r="E18" s="20">
        <f>C18+D18</f>
        <v>-4</v>
      </c>
      <c r="F18" s="20">
        <f>C18+F17</f>
        <v>24.6</v>
      </c>
      <c r="G18" s="20">
        <f>D18+G17</f>
        <v>-7.6</v>
      </c>
      <c r="H18" s="20">
        <f>E18+H17</f>
        <v>17</v>
      </c>
      <c r="I18" s="24">
        <f>AVERAGE(E7:E20)</f>
        <v>-1.07142857142857</v>
      </c>
    </row>
    <row r="19" ht="20.05" customHeight="1">
      <c r="B19" s="33">
        <f>1+$B18</f>
        <v>2020</v>
      </c>
      <c r="C19" s="19">
        <f>121-108</f>
        <v>13</v>
      </c>
      <c r="D19" s="20"/>
      <c r="E19" s="20">
        <f>C19+D19</f>
        <v>13</v>
      </c>
      <c r="F19" s="20">
        <f>C19+F18</f>
        <v>37.6</v>
      </c>
      <c r="G19" s="20">
        <f>D19+G18</f>
        <v>-7.6</v>
      </c>
      <c r="H19" s="20">
        <f>E19+H18</f>
        <v>30</v>
      </c>
      <c r="I19" s="24">
        <f>AVERAGE(E16:E20)</f>
        <v>6.4</v>
      </c>
    </row>
    <row r="20" ht="20.05" customHeight="1">
      <c r="B20" s="33">
        <f>1+$B19</f>
        <v>2021</v>
      </c>
      <c r="C20" s="19">
        <v>10</v>
      </c>
      <c r="D20" s="20"/>
      <c r="E20" s="20">
        <f>C20+D20</f>
        <v>10</v>
      </c>
      <c r="F20" s="20">
        <f>C20+F19</f>
        <v>47.6</v>
      </c>
      <c r="G20" s="20">
        <f>D20+G19</f>
        <v>-7.6</v>
      </c>
      <c r="H20" s="20">
        <f>E20+H19</f>
        <v>40</v>
      </c>
      <c r="I20" s="24">
        <f>E20</f>
        <v>10</v>
      </c>
    </row>
    <row r="22" ht="27.65" customHeight="1">
      <c r="J22" t="s" s="2">
        <v>58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ht="20.25" customHeight="1"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ht="20.25" customHeight="1">
      <c r="J24" s="45"/>
      <c r="K24" t="s" s="46">
        <v>59</v>
      </c>
      <c r="L24" s="47">
        <v>229320000000</v>
      </c>
      <c r="M24" s="8"/>
      <c r="N24" s="8"/>
      <c r="O24" s="8"/>
      <c r="P24" s="8"/>
      <c r="Q24" s="8"/>
      <c r="R24" s="8"/>
      <c r="S24" s="8"/>
      <c r="T24" s="8"/>
      <c r="U24" s="8"/>
    </row>
    <row r="25" ht="44.05" customHeight="1">
      <c r="J25" s="32"/>
      <c r="K25" t="s" s="48">
        <v>54</v>
      </c>
      <c r="L25" t="s" s="49">
        <v>60</v>
      </c>
      <c r="M25" s="16">
        <f>S44</f>
        <v>-0.00467219854974957</v>
      </c>
      <c r="N25" t="s" s="49">
        <f>T44</f>
        <v>61</v>
      </c>
      <c r="O25" t="s" s="49">
        <f>U44</f>
        <v>62</v>
      </c>
      <c r="P25" s="25"/>
      <c r="Q25" s="25"/>
      <c r="R25" s="25"/>
      <c r="S25" s="25"/>
      <c r="T25" s="25"/>
      <c r="U25" s="25"/>
    </row>
    <row r="26" ht="20.05" customHeight="1">
      <c r="J26" s="32"/>
      <c r="K26" s="50">
        <v>44654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ht="20.05" customHeight="1">
      <c r="J27" s="32"/>
      <c r="K27" t="s" s="48">
        <v>63</v>
      </c>
      <c r="L27" s="24">
        <f>$B7</f>
        <v>2008</v>
      </c>
      <c r="M27" s="25"/>
      <c r="N27" s="25"/>
      <c r="O27" s="25"/>
      <c r="P27" s="25"/>
      <c r="Q27" s="25"/>
      <c r="R27" s="25"/>
      <c r="S27" s="25"/>
      <c r="T27" s="25"/>
      <c r="U27" s="25"/>
    </row>
    <row r="28" ht="32.05" customHeight="1">
      <c r="J28" s="32"/>
      <c r="K28" t="s" s="48">
        <v>64</v>
      </c>
      <c r="L28" s="24">
        <f>(2022-L27)*4</f>
        <v>56</v>
      </c>
      <c r="M28" s="25"/>
      <c r="N28" s="25"/>
      <c r="O28" s="25"/>
      <c r="P28" s="25"/>
      <c r="Q28" s="25"/>
      <c r="R28" s="25"/>
      <c r="S28" s="25"/>
      <c r="T28" s="25"/>
      <c r="U28" s="25"/>
    </row>
    <row r="29" ht="32.05" customHeight="1">
      <c r="J29" s="32"/>
      <c r="K29" t="s" s="48">
        <v>65</v>
      </c>
      <c r="L29" s="20">
        <f>(L24/1000000000)</f>
        <v>229.32</v>
      </c>
      <c r="M29" s="25"/>
      <c r="N29" s="25"/>
      <c r="O29" s="25"/>
      <c r="P29" s="25"/>
      <c r="Q29" s="25"/>
      <c r="R29" s="25"/>
      <c r="S29" s="25"/>
      <c r="T29" s="25"/>
      <c r="U29" s="25"/>
    </row>
    <row r="30" ht="20.05" customHeight="1">
      <c r="J30" s="32"/>
      <c r="K30" t="s" s="48">
        <v>11</v>
      </c>
      <c r="L30" s="20">
        <f>Q34</f>
        <v>47.6</v>
      </c>
      <c r="M30" t="s" s="49">
        <f>Q31</f>
        <v>66</v>
      </c>
      <c r="N30" t="s" s="49">
        <f>IF(L30&gt;0,"raised","paid")</f>
        <v>67</v>
      </c>
      <c r="O30" s="25"/>
      <c r="P30" s="25"/>
      <c r="Q30" s="25"/>
      <c r="R30" s="25"/>
      <c r="S30" s="25"/>
      <c r="T30" s="25"/>
      <c r="U30" s="25"/>
    </row>
    <row r="31" ht="32.05" customHeight="1">
      <c r="J31" s="32"/>
      <c r="K31" t="s" s="48">
        <f>K25</f>
        <v>54</v>
      </c>
      <c r="L31" t="s" s="49">
        <v>68</v>
      </c>
      <c r="M31" t="s" s="49">
        <f>IF(P31&gt;0,"raised","paid")</f>
        <v>69</v>
      </c>
      <c r="N31" t="s" s="49">
        <v>70</v>
      </c>
      <c r="O31" t="s" s="49">
        <v>71</v>
      </c>
      <c r="P31" s="20">
        <f>AVERAGE(C7:C20)</f>
        <v>-0.528571428571429</v>
      </c>
      <c r="Q31" t="s" s="49">
        <v>66</v>
      </c>
      <c r="R31" t="s" s="49">
        <v>72</v>
      </c>
      <c r="S31" s="16">
        <f>P31/L29</f>
        <v>-0.00230495128454312</v>
      </c>
      <c r="T31" t="s" s="49">
        <v>61</v>
      </c>
      <c r="U31" s="25"/>
    </row>
    <row r="32" ht="32.05" customHeight="1">
      <c r="J32" s="32"/>
      <c r="K32" t="s" s="48">
        <v>73</v>
      </c>
      <c r="L32" t="s" s="49">
        <f>N31</f>
        <v>70</v>
      </c>
      <c r="M32" t="s" s="49">
        <v>74</v>
      </c>
      <c r="N32" t="s" s="49">
        <f>IF(P32&gt;0,"raised","paid")</f>
        <v>67</v>
      </c>
      <c r="O32" t="s" s="49">
        <v>71</v>
      </c>
      <c r="P32" s="20">
        <f>AVERAGE(C16:C20)</f>
        <v>6.4</v>
      </c>
      <c r="Q32" t="s" s="49">
        <f>Q31</f>
        <v>66</v>
      </c>
      <c r="R32" t="s" s="49">
        <v>72</v>
      </c>
      <c r="S32" s="16">
        <f>P32/L29</f>
        <v>0.0279085993371708</v>
      </c>
      <c r="T32" t="s" s="49">
        <v>61</v>
      </c>
      <c r="U32" s="25"/>
    </row>
    <row r="33" ht="44.05" customHeight="1">
      <c r="J33" s="32"/>
      <c r="K33" t="s" s="48">
        <v>75</v>
      </c>
      <c r="L33" t="s" s="49">
        <v>76</v>
      </c>
      <c r="M33" s="20">
        <f>MAX(F7:F20)</f>
        <v>47.6</v>
      </c>
      <c r="N33" t="s" s="49">
        <f>Q32</f>
        <v>66</v>
      </c>
      <c r="O33" t="s" s="49">
        <v>77</v>
      </c>
      <c r="P33" s="24">
        <f>$B7</f>
        <v>2008</v>
      </c>
      <c r="Q33" s="25"/>
      <c r="R33" s="25"/>
      <c r="S33" s="25"/>
      <c r="T33" s="25"/>
      <c r="U33" s="25"/>
    </row>
    <row r="34" ht="32.05" customHeight="1">
      <c r="J34" s="32"/>
      <c r="K34" t="s" s="48">
        <v>78</v>
      </c>
      <c r="L34" t="s" s="49">
        <f>L32</f>
        <v>70</v>
      </c>
      <c r="M34" t="s" s="49">
        <v>79</v>
      </c>
      <c r="N34" t="s" s="49">
        <v>80</v>
      </c>
      <c r="O34" t="s" s="49">
        <f>IF(Q34&lt;M33,"down","up")</f>
        <v>81</v>
      </c>
      <c r="P34" t="s" s="49">
        <v>82</v>
      </c>
      <c r="Q34" s="20">
        <f>F20</f>
        <v>47.6</v>
      </c>
      <c r="R34" t="s" s="49">
        <f>Q32</f>
        <v>66</v>
      </c>
      <c r="S34" s="25"/>
      <c r="T34" s="25"/>
      <c r="U34" s="25"/>
    </row>
    <row r="35" ht="20.05" customHeight="1">
      <c r="J35" s="32"/>
      <c r="K35" t="s" s="48">
        <v>26</v>
      </c>
      <c r="L35" s="20">
        <f>Q39</f>
        <v>-7.6</v>
      </c>
      <c r="M35" t="s" s="49">
        <f>R34</f>
        <v>66</v>
      </c>
      <c r="N35" t="s" s="49">
        <f>IF(L35&gt;0,"raised","paid")</f>
        <v>69</v>
      </c>
      <c r="O35" s="25"/>
      <c r="P35" s="25"/>
      <c r="Q35" s="25"/>
      <c r="R35" s="25"/>
      <c r="S35" s="25"/>
      <c r="T35" s="25"/>
      <c r="U35" s="25"/>
    </row>
    <row r="36" ht="32.05" customHeight="1">
      <c r="J36" s="32"/>
      <c r="K36" t="s" s="48">
        <f>K31</f>
        <v>54</v>
      </c>
      <c r="L36" t="s" s="49">
        <v>68</v>
      </c>
      <c r="M36" t="s" s="49">
        <f>IF(P36&gt;0,"raised","paid")</f>
        <v>69</v>
      </c>
      <c r="N36" t="s" s="49">
        <v>83</v>
      </c>
      <c r="O36" t="s" s="49">
        <f>O31</f>
        <v>71</v>
      </c>
      <c r="P36" s="20">
        <f>AVERAGE(D7:D20)</f>
        <v>-1.52</v>
      </c>
      <c r="Q36" t="s" s="49">
        <f>Q31</f>
        <v>66</v>
      </c>
      <c r="R36" t="s" s="49">
        <f>R31</f>
        <v>72</v>
      </c>
      <c r="S36" s="16">
        <f>P36/L29</f>
        <v>-0.00662829234257806</v>
      </c>
      <c r="T36" t="s" s="49">
        <f>T31</f>
        <v>61</v>
      </c>
      <c r="U36" s="25"/>
    </row>
    <row r="37" ht="32.05" customHeight="1">
      <c r="J37" s="32"/>
      <c r="K37" t="s" s="48">
        <v>73</v>
      </c>
      <c r="L37" t="s" s="49">
        <f>N36</f>
        <v>83</v>
      </c>
      <c r="M37" t="s" s="49">
        <v>84</v>
      </c>
      <c r="N37" s="25">
        <f>IF(P37&gt;0,"raised","paid")</f>
      </c>
      <c r="O37" t="s" s="49">
        <v>71</v>
      </c>
      <c r="P37" s="25">
        <f>AVERAGE(D16:D20)</f>
      </c>
      <c r="Q37" t="s" s="49">
        <f>Q36</f>
        <v>66</v>
      </c>
      <c r="R37" t="s" s="49">
        <v>72</v>
      </c>
      <c r="S37" s="16">
        <f>P37/L29</f>
      </c>
      <c r="T37" t="s" s="49">
        <f>T32</f>
        <v>61</v>
      </c>
      <c r="U37" s="25"/>
    </row>
    <row r="38" ht="44.05" customHeight="1">
      <c r="J38" s="32"/>
      <c r="K38" t="s" s="48">
        <v>85</v>
      </c>
      <c r="L38" t="s" s="49">
        <v>76</v>
      </c>
      <c r="M38" s="20">
        <f>MAX(G7:G20)</f>
        <v>0</v>
      </c>
      <c r="N38" t="s" s="49">
        <f>Q37</f>
        <v>66</v>
      </c>
      <c r="O38" t="s" s="49">
        <v>77</v>
      </c>
      <c r="P38" s="24">
        <f>$B7</f>
        <v>2008</v>
      </c>
      <c r="Q38" s="25"/>
      <c r="R38" s="25"/>
      <c r="S38" s="25"/>
      <c r="T38" s="25"/>
      <c r="U38" s="25"/>
    </row>
    <row r="39" ht="32.05" customHeight="1">
      <c r="J39" s="32"/>
      <c r="K39" t="s" s="48">
        <v>78</v>
      </c>
      <c r="L39" t="s" s="49">
        <f>L37</f>
        <v>83</v>
      </c>
      <c r="M39" t="s" s="49">
        <v>79</v>
      </c>
      <c r="N39" t="s" s="49">
        <v>86</v>
      </c>
      <c r="O39" t="s" s="49">
        <f>IF(Q39&lt;M38,"down","up")</f>
        <v>87</v>
      </c>
      <c r="P39" t="s" s="49">
        <v>82</v>
      </c>
      <c r="Q39" s="20">
        <f>G20</f>
        <v>-7.6</v>
      </c>
      <c r="R39" t="s" s="49">
        <f>Q37</f>
        <v>66</v>
      </c>
      <c r="S39" s="25"/>
      <c r="T39" s="25"/>
      <c r="U39" s="25"/>
    </row>
    <row r="40" ht="20.05" customHeight="1">
      <c r="J40" s="32"/>
      <c r="K40" t="s" s="48">
        <v>88</v>
      </c>
      <c r="L40" s="20">
        <f>Q44</f>
        <v>40</v>
      </c>
      <c r="M40" t="s" s="49">
        <f>R39</f>
        <v>66</v>
      </c>
      <c r="N40" t="s" s="49">
        <f>IF(L40&gt;0,"raised","paid")</f>
        <v>67</v>
      </c>
      <c r="O40" s="25"/>
      <c r="P40" s="25"/>
      <c r="Q40" s="25"/>
      <c r="R40" s="25"/>
      <c r="S40" s="25"/>
      <c r="T40" s="25"/>
      <c r="U40" s="25"/>
    </row>
    <row r="41" ht="32.05" customHeight="1">
      <c r="J41" s="32"/>
      <c r="K41" t="s" s="48">
        <f>K36</f>
        <v>54</v>
      </c>
      <c r="L41" t="s" s="49">
        <v>68</v>
      </c>
      <c r="M41" t="s" s="49">
        <f>IF(P41&gt;0,"raised","paid")</f>
        <v>69</v>
      </c>
      <c r="N41" t="s" s="49">
        <v>89</v>
      </c>
      <c r="O41" t="s" s="49">
        <f>O36</f>
        <v>71</v>
      </c>
      <c r="P41" s="20">
        <f>AVERAGE(E7:E20)</f>
        <v>-1.07142857142857</v>
      </c>
      <c r="Q41" t="s" s="49">
        <f>Q36</f>
        <v>66</v>
      </c>
      <c r="R41" t="s" s="49">
        <f>R36</f>
        <v>72</v>
      </c>
      <c r="S41" s="16">
        <f>P41/L29</f>
        <v>-0.00467219854974956</v>
      </c>
      <c r="T41" t="s" s="49">
        <f>T36</f>
        <v>61</v>
      </c>
      <c r="U41" s="25"/>
    </row>
    <row r="42" ht="32.05" customHeight="1">
      <c r="J42" s="32"/>
      <c r="K42" t="s" s="48">
        <v>73</v>
      </c>
      <c r="L42" t="s" s="49">
        <f>N41</f>
        <v>89</v>
      </c>
      <c r="M42" t="s" s="49">
        <v>84</v>
      </c>
      <c r="N42" t="s" s="49">
        <f>IF(P42&gt;0,"raised","paid")</f>
        <v>67</v>
      </c>
      <c r="O42" t="s" s="49">
        <v>71</v>
      </c>
      <c r="P42" s="20">
        <f>AVERAGE(E16:E20)</f>
        <v>6.4</v>
      </c>
      <c r="Q42" t="s" s="49">
        <f>Q41</f>
        <v>66</v>
      </c>
      <c r="R42" t="s" s="49">
        <v>72</v>
      </c>
      <c r="S42" s="16">
        <f>P42/L29</f>
        <v>0.0279085993371708</v>
      </c>
      <c r="T42" t="s" s="49">
        <f>T37</f>
        <v>61</v>
      </c>
      <c r="U42" s="25"/>
    </row>
    <row r="43" ht="44.05" customHeight="1">
      <c r="J43" s="32"/>
      <c r="K43" t="s" s="48">
        <v>90</v>
      </c>
      <c r="L43" t="s" s="49">
        <v>76</v>
      </c>
      <c r="M43" s="20">
        <f>MAX(H7:H20)</f>
        <v>40</v>
      </c>
      <c r="N43" t="s" s="49">
        <f>Q42</f>
        <v>66</v>
      </c>
      <c r="O43" t="s" s="49">
        <v>77</v>
      </c>
      <c r="P43" s="24">
        <f>$B7</f>
        <v>2008</v>
      </c>
      <c r="Q43" s="25"/>
      <c r="R43" s="25"/>
      <c r="S43" s="25"/>
      <c r="T43" s="25"/>
      <c r="U43" s="25"/>
    </row>
    <row r="44" ht="44.05" customHeight="1">
      <c r="J44" s="32"/>
      <c r="K44" t="s" s="48">
        <v>78</v>
      </c>
      <c r="L44" t="s" s="49">
        <f>L42</f>
        <v>89</v>
      </c>
      <c r="M44" t="s" s="49">
        <v>79</v>
      </c>
      <c r="N44" t="s" s="49">
        <v>86</v>
      </c>
      <c r="O44" t="s" s="49">
        <f>IF(Q44&lt;M43,"down","up")</f>
        <v>81</v>
      </c>
      <c r="P44" t="s" s="49">
        <v>82</v>
      </c>
      <c r="Q44" s="24">
        <f>H20</f>
        <v>40</v>
      </c>
      <c r="R44" t="s" s="49">
        <f>Q42</f>
        <v>66</v>
      </c>
      <c r="S44" s="16">
        <f>AVERAGE(E7:E20)/L29</f>
        <v>-0.00467219854974957</v>
      </c>
      <c r="T44" t="s" s="49">
        <f>T42</f>
        <v>61</v>
      </c>
      <c r="U44" t="s" s="49">
        <v>62</v>
      </c>
    </row>
  </sheetData>
  <mergeCells count="2">
    <mergeCell ref="B2:I2"/>
    <mergeCell ref="J22:U2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17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9" width="11.0469" style="51" customWidth="1"/>
    <col min="10" max="16384" width="16.3516" style="51" customWidth="1"/>
  </cols>
  <sheetData>
    <row r="1" ht="27.65" customHeight="1">
      <c r="A1" t="s" s="2">
        <v>91</v>
      </c>
      <c r="B1" s="2"/>
      <c r="C1" s="2"/>
      <c r="D1" s="2"/>
      <c r="E1" s="2"/>
      <c r="F1" s="2"/>
      <c r="G1" s="2"/>
      <c r="H1" s="2"/>
      <c r="I1" s="2"/>
    </row>
    <row r="2" ht="20.25" customHeight="1">
      <c r="A2" s="35"/>
      <c r="B2" t="s" s="4">
        <v>52</v>
      </c>
      <c r="C2" t="s" s="4">
        <v>50</v>
      </c>
      <c r="D2" t="s" s="4">
        <v>11</v>
      </c>
      <c r="E2" t="s" s="4">
        <v>5</v>
      </c>
      <c r="F2" t="s" s="4">
        <v>43</v>
      </c>
      <c r="G2" t="s" s="4">
        <v>46</v>
      </c>
      <c r="H2" t="s" s="4">
        <v>47</v>
      </c>
      <c r="I2" t="s" s="4">
        <v>92</v>
      </c>
    </row>
    <row r="3" ht="20.25" customHeight="1">
      <c r="A3" s="28">
        <v>2018</v>
      </c>
      <c r="B3" s="36"/>
      <c r="C3" s="30"/>
      <c r="D3" s="30"/>
      <c r="E3" s="30">
        <v>75</v>
      </c>
      <c r="F3" s="30">
        <v>0.2</v>
      </c>
      <c r="G3" s="30">
        <v>4.6</v>
      </c>
      <c r="H3" s="30">
        <v>0.8</v>
      </c>
      <c r="I3" s="30">
        <v>-4.3</v>
      </c>
    </row>
    <row r="4" ht="20.05" customHeight="1">
      <c r="A4" s="32"/>
      <c r="B4" s="19"/>
      <c r="C4" s="20"/>
      <c r="D4" s="20"/>
      <c r="E4" s="20">
        <v>143</v>
      </c>
      <c r="F4" s="20">
        <v>-4.8</v>
      </c>
      <c r="G4" s="20">
        <v>4.3</v>
      </c>
      <c r="H4" s="20">
        <v>-0.6</v>
      </c>
      <c r="I4" s="20">
        <v>-5.8</v>
      </c>
    </row>
    <row r="5" ht="20.05" customHeight="1">
      <c r="A5" s="32"/>
      <c r="B5" s="19"/>
      <c r="C5" s="20"/>
      <c r="D5" s="20"/>
      <c r="E5" s="20">
        <v>209</v>
      </c>
      <c r="F5" s="20">
        <v>0.4</v>
      </c>
      <c r="G5" s="20">
        <v>8.1</v>
      </c>
      <c r="H5" s="20">
        <v>-0.5</v>
      </c>
      <c r="I5" s="20">
        <v>-7.3</v>
      </c>
    </row>
    <row r="6" ht="20.05" customHeight="1">
      <c r="A6" s="32"/>
      <c r="B6" s="19"/>
      <c r="C6" s="20"/>
      <c r="D6" s="20"/>
      <c r="E6" s="20">
        <v>287</v>
      </c>
      <c r="F6" s="20">
        <v>-0.4</v>
      </c>
      <c r="G6" s="20">
        <v>8.199999999999999</v>
      </c>
      <c r="H6" s="20">
        <v>-13.4</v>
      </c>
      <c r="I6" s="20">
        <v>6.7</v>
      </c>
    </row>
    <row r="7" ht="20.05" customHeight="1">
      <c r="A7" s="33">
        <v>2019</v>
      </c>
      <c r="B7" s="19">
        <v>5.2</v>
      </c>
      <c r="C7" s="20">
        <v>343</v>
      </c>
      <c r="D7" s="20">
        <v>182</v>
      </c>
      <c r="E7" s="20">
        <v>76</v>
      </c>
      <c r="F7" s="20">
        <v>0.6</v>
      </c>
      <c r="G7" s="20">
        <v>-2.7</v>
      </c>
      <c r="H7" s="20">
        <v>-0.09</v>
      </c>
      <c r="I7" s="20">
        <v>-0.9</v>
      </c>
    </row>
    <row r="8" ht="20.05" customHeight="1">
      <c r="A8" s="32"/>
      <c r="B8" s="19">
        <v>8.699999999999999</v>
      </c>
      <c r="C8" s="20">
        <v>351</v>
      </c>
      <c r="D8" s="20">
        <v>190</v>
      </c>
      <c r="E8" s="20">
        <v>144</v>
      </c>
      <c r="F8" s="20">
        <v>0.5</v>
      </c>
      <c r="G8" s="20">
        <v>-10.5</v>
      </c>
      <c r="H8" s="20">
        <v>9.6</v>
      </c>
      <c r="I8" s="20">
        <v>0.2</v>
      </c>
    </row>
    <row r="9" ht="20.05" customHeight="1">
      <c r="A9" s="32"/>
      <c r="B9" s="19">
        <v>3.3</v>
      </c>
      <c r="C9" s="20">
        <v>330</v>
      </c>
      <c r="D9" s="20">
        <v>173</v>
      </c>
      <c r="E9" s="20">
        <v>213</v>
      </c>
      <c r="F9" s="20">
        <v>0.6</v>
      </c>
      <c r="G9" s="20">
        <v>-11.5</v>
      </c>
      <c r="H9" s="20">
        <v>10.5</v>
      </c>
      <c r="I9" s="20">
        <v>-5</v>
      </c>
    </row>
    <row r="10" ht="20.05" customHeight="1">
      <c r="A10" s="32"/>
      <c r="B10" s="19">
        <v>6.2</v>
      </c>
      <c r="C10" s="20">
        <v>340</v>
      </c>
      <c r="D10" s="20">
        <v>174</v>
      </c>
      <c r="E10" s="20">
        <v>281</v>
      </c>
      <c r="F10" s="20">
        <v>1.3</v>
      </c>
      <c r="G10" s="20">
        <v>-3</v>
      </c>
      <c r="H10" s="20">
        <v>4.9</v>
      </c>
      <c r="I10" s="20">
        <v>-3.8</v>
      </c>
    </row>
    <row r="11" ht="20.05" customHeight="1">
      <c r="A11" s="33">
        <v>2020</v>
      </c>
      <c r="B11" s="19">
        <v>5.5</v>
      </c>
      <c r="C11" s="20">
        <v>339</v>
      </c>
      <c r="D11" s="20">
        <v>173</v>
      </c>
      <c r="E11" s="20">
        <v>67</v>
      </c>
      <c r="F11" s="20">
        <v>0.1</v>
      </c>
      <c r="G11" s="20">
        <v>3.1</v>
      </c>
      <c r="H11" s="20">
        <v>-1.7</v>
      </c>
      <c r="I11" s="20">
        <v>-1.9</v>
      </c>
    </row>
    <row r="12" ht="20.05" customHeight="1">
      <c r="A12" s="32"/>
      <c r="B12" s="19">
        <v>5.7</v>
      </c>
      <c r="C12" s="20">
        <v>347</v>
      </c>
      <c r="D12" s="20">
        <v>180</v>
      </c>
      <c r="E12" s="20">
        <v>135</v>
      </c>
      <c r="F12" s="20">
        <v>0.4</v>
      </c>
      <c r="G12" s="20">
        <v>-2.6</v>
      </c>
      <c r="H12" s="20">
        <v>-3.1</v>
      </c>
      <c r="I12" s="20">
        <v>5.3</v>
      </c>
    </row>
    <row r="13" ht="20.05" customHeight="1">
      <c r="A13" s="32"/>
      <c r="B13" s="19">
        <v>8.1</v>
      </c>
      <c r="C13" s="20">
        <v>352</v>
      </c>
      <c r="D13" s="20">
        <v>185</v>
      </c>
      <c r="E13" s="20">
        <v>191</v>
      </c>
      <c r="F13" s="20">
        <v>0.3</v>
      </c>
      <c r="G13" s="20">
        <v>-7.8</v>
      </c>
      <c r="H13" s="20">
        <v>-6.2</v>
      </c>
      <c r="I13" s="20">
        <v>16</v>
      </c>
    </row>
    <row r="14" ht="20.05" customHeight="1">
      <c r="A14" s="32"/>
      <c r="B14" s="19">
        <v>8.300000000000001</v>
      </c>
      <c r="C14" s="20">
        <v>345</v>
      </c>
      <c r="D14" s="20">
        <v>183</v>
      </c>
      <c r="E14" s="20">
        <v>251</v>
      </c>
      <c r="F14" s="20">
        <v>2.4</v>
      </c>
      <c r="G14" s="20">
        <v>-5.6</v>
      </c>
      <c r="H14" s="20">
        <v>-6.1</v>
      </c>
      <c r="I14" s="20">
        <v>12.8</v>
      </c>
    </row>
    <row r="15" ht="20.05" customHeight="1">
      <c r="A15" s="33">
        <v>2021</v>
      </c>
      <c r="B15" s="19">
        <v>4.8</v>
      </c>
      <c r="C15" s="20">
        <v>334</v>
      </c>
      <c r="D15" s="20">
        <v>173</v>
      </c>
      <c r="E15" s="20">
        <v>48.6</v>
      </c>
      <c r="F15" s="20">
        <v>-0.96</v>
      </c>
      <c r="G15" s="20">
        <v>8.199999999999999</v>
      </c>
      <c r="H15" s="20">
        <v>0.5</v>
      </c>
      <c r="I15" s="20">
        <v>-12.2</v>
      </c>
    </row>
    <row r="16" ht="20.05" customHeight="1">
      <c r="A16" s="32"/>
      <c r="B16" s="19">
        <v>6.3</v>
      </c>
      <c r="C16" s="20">
        <v>358</v>
      </c>
      <c r="D16" s="20">
        <v>195</v>
      </c>
      <c r="E16" s="20">
        <v>114</v>
      </c>
      <c r="F16" s="20">
        <v>0.2</v>
      </c>
      <c r="G16" s="20">
        <v>-14.4</v>
      </c>
      <c r="H16" s="20">
        <v>1</v>
      </c>
      <c r="I16" s="20">
        <v>11.6</v>
      </c>
    </row>
    <row r="17" ht="20.05" customHeight="1">
      <c r="A17" s="32"/>
      <c r="B17" s="19">
        <v>11.2</v>
      </c>
      <c r="C17" s="20">
        <v>359</v>
      </c>
      <c r="D17" s="20">
        <v>197</v>
      </c>
      <c r="E17" s="20">
        <v>176</v>
      </c>
      <c r="F17" s="20">
        <v>0.1</v>
      </c>
      <c r="G17" s="20">
        <v>-1.8</v>
      </c>
      <c r="H17" s="20">
        <v>-0.8</v>
      </c>
      <c r="I17" s="20">
        <v>5.4</v>
      </c>
    </row>
  </sheetData>
  <mergeCells count="1">
    <mergeCell ref="A1:I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