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 " sheetId="1" r:id="rId4"/>
    <sheet name="Sales" sheetId="2" r:id="rId5"/>
    <sheet name="Cashflow" sheetId="3" r:id="rId6"/>
    <sheet name="Balance sheets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<sst xmlns="http://schemas.openxmlformats.org/spreadsheetml/2006/main" uniqueCount="63">
  <si>
    <t>Financial model</t>
  </si>
  <si>
    <t>Rpbn</t>
  </si>
  <si>
    <t>4Q 2022</t>
  </si>
  <si>
    <t>Cashflow</t>
  </si>
  <si>
    <t>Growth</t>
  </si>
  <si>
    <t>Sales</t>
  </si>
  <si>
    <t>Ccost ratio</t>
  </si>
  <si>
    <t>Cash costs</t>
  </si>
  <si>
    <t>Operating</t>
  </si>
  <si>
    <t>Investment</t>
  </si>
  <si>
    <t>Finance</t>
  </si>
  <si>
    <t xml:space="preserve">Liabilities 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</si>
  <si>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</si>
  <si>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</si>
  <si>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</si>
  <si>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</si>
  <si>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</si>
  <si>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</si>
  <si>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</si>
  <si>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</si>
  <si>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</si>
  <si>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</si>
  <si>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</si>
  <si>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</si>
  <si>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</si>
  <si>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</si>
  <si>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</si>
  <si>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</si>
  <si>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</si>
  <si>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</si>
  <si>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</si>
  <si>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 xml:space="preserve">P/assets </t>
  </si>
  <si>
    <t>Yield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</si>
  <si>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</si>
  <si>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</si>
  <si>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</si>
  <si>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</si>
  <si>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</si>
  <si>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</si>
  <si>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</si>
  <si>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</si>
  <si>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</si>
  <si>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>Net profit</t>
  </si>
  <si>
    <t xml:space="preserve">Sales growth </t>
  </si>
  <si>
    <t xml:space="preserve">Cost ratio </t>
  </si>
  <si>
    <t>Cashflow costs</t>
  </si>
  <si>
    <t>Tin</t>
  </si>
  <si>
    <t xml:space="preserve">Receipts </t>
  </si>
  <si>
    <t xml:space="preserve">Operating </t>
  </si>
  <si>
    <t xml:space="preserve">Investment </t>
  </si>
  <si>
    <t>Interest</t>
  </si>
  <si>
    <t>Leases</t>
  </si>
  <si>
    <t xml:space="preserve">Free cashflow </t>
  </si>
  <si>
    <t xml:space="preserve">Cash </t>
  </si>
  <si>
    <t>Assets</t>
  </si>
  <si>
    <t xml:space="preserve">Total asset </t>
  </si>
  <si>
    <t>Check</t>
  </si>
  <si>
    <t>Timah Persero Tbk (TINS) Historical Prices - Investing.com</t>
  </si>
  <si>
    <t>Date</t>
  </si>
  <si>
    <t>TINS</t>
  </si>
  <si>
    <t>Target</t>
  </si>
  <si>
    <t>Capital</t>
  </si>
  <si>
    <t xml:space="preserve">Interest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</si>
</sst>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2" fillId="2" borderId="1" applyNumberFormat="1" applyFont="1" applyFill="1" applyBorder="1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/>
    </xf>
    <xf numFmtId="49" fontId="2" fillId="2" borderId="1" applyNumberFormat="1" applyFont="1" applyFill="1" applyBorder="1" applyAlignment="1" applyProtection="0">
      <alignment vertical="top"/>
    </xf>
    <xf numFmtId="0" fontId="2" fillId="4" borderId="2" applyNumberFormat="1" applyFont="1" applyFill="1" applyBorder="1" applyAlignment="1" applyProtection="0">
      <alignment vertical="top"/>
    </xf>
    <xf numFmtId="3" fontId="0" borderId="3" applyNumberFormat="1" applyFont="1" applyFill="0" applyBorder="1" applyAlignment="1" applyProtection="0">
      <alignment vertical="top"/>
    </xf>
    <xf numFmtId="3" fontId="0" borderId="4" applyNumberFormat="1" applyFont="1" applyFill="0" applyBorder="1" applyAlignment="1" applyProtection="0">
      <alignment vertical="top"/>
    </xf>
    <xf numFmtId="0" fontId="2" fillId="4" borderId="5" applyNumberFormat="0" applyFont="1" applyFill="1" applyBorder="1" applyAlignment="1" applyProtection="0">
      <alignment vertical="top"/>
    </xf>
    <xf numFmtId="3" fontId="0" borderId="6" applyNumberFormat="1" applyFont="1" applyFill="0" applyBorder="1" applyAlignment="1" applyProtection="0">
      <alignment vertical="top"/>
    </xf>
    <xf numFmtId="3" fontId="0" borderId="7" applyNumberFormat="1" applyFont="1" applyFill="0" applyBorder="1" applyAlignment="1" applyProtection="0">
      <alignment vertical="top"/>
    </xf>
    <xf numFmtId="0" fontId="2" fillId="4" borderId="5" applyNumberFormat="1" applyFont="1" applyFill="1" applyBorder="1" applyAlignment="1" applyProtection="0">
      <alignment vertical="top"/>
    </xf>
    <xf numFmtId="0" fontId="0" borderId="7" applyNumberFormat="0" applyFont="1" applyFill="0" applyBorder="1" applyAlignment="1" applyProtection="0">
      <alignment vertical="top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0919"/>
          <c:y val="0.12368"/>
          <c:w val="0.807726"/>
          <c:h val="0.810337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'!$F$2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'!$A$5:$A$17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'!$F$5:$F$17</c:f>
              <c:numCache>
                <c:ptCount val="13"/>
                <c:pt idx="0">
                  <c:v>-1.382000</c:v>
                </c:pt>
                <c:pt idx="1">
                  <c:v>42.799000</c:v>
                </c:pt>
                <c:pt idx="2">
                  <c:v>239.446000</c:v>
                </c:pt>
                <c:pt idx="3">
                  <c:v>-140.654000</c:v>
                </c:pt>
                <c:pt idx="4">
                  <c:v>950.535000</c:v>
                </c:pt>
                <c:pt idx="5">
                  <c:v>1881.855000</c:v>
                </c:pt>
                <c:pt idx="6">
                  <c:v>1537.172000</c:v>
                </c:pt>
                <c:pt idx="7">
                  <c:v>1187.907000</c:v>
                </c:pt>
                <c:pt idx="8">
                  <c:v>3143.100000</c:v>
                </c:pt>
                <c:pt idx="9">
                  <c:v>5547.122000</c:v>
                </c:pt>
                <c:pt idx="10">
                  <c:v>10952.141000</c:v>
                </c:pt>
                <c:pt idx="11">
                  <c:v>6584.152000</c:v>
                </c:pt>
                <c:pt idx="12">
                  <c:v>4578.952000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'!$G$2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'!$A$5:$A$17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'!$G$5:$G$17</c:f>
              <c:numCache>
                <c:ptCount val="13"/>
                <c:pt idx="0">
                  <c:v>-670.531000</c:v>
                </c:pt>
                <c:pt idx="1">
                  <c:v>-827.402000</c:v>
                </c:pt>
                <c:pt idx="2">
                  <c:v>-1301.341000</c:v>
                </c:pt>
                <c:pt idx="3">
                  <c:v>-1749.677000</c:v>
                </c:pt>
                <c:pt idx="4">
                  <c:v>-1749.677000</c:v>
                </c:pt>
                <c:pt idx="5">
                  <c:v>-1749.677000</c:v>
                </c:pt>
                <c:pt idx="6">
                  <c:v>-1749.677000</c:v>
                </c:pt>
                <c:pt idx="7">
                  <c:v>-1749.677000</c:v>
                </c:pt>
                <c:pt idx="8">
                  <c:v>-1749.677000</c:v>
                </c:pt>
                <c:pt idx="9">
                  <c:v>-1749.677000</c:v>
                </c:pt>
                <c:pt idx="10">
                  <c:v>-1936.048000</c:v>
                </c:pt>
                <c:pt idx="11">
                  <c:v>-1936.048000</c:v>
                </c:pt>
                <c:pt idx="12">
                  <c:v>-1936.048000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'!$I$2</c:f>
              <c:strCache/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'!$A$5:$A$17</c:f>
              <c:strCach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strCache>
            </c:strRef>
          </c:cat>
          <c:val>
            <c:numRef>
              <c:f>'Capital '!$I$5:$I$17</c:f>
              <c:numCache>
                <c:ptCount val="13"/>
                <c:pt idx="0">
                  <c:v>-671.913000</c:v>
                </c:pt>
                <c:pt idx="1">
                  <c:v>-784.603000</c:v>
                </c:pt>
                <c:pt idx="2">
                  <c:v>-1061.895000</c:v>
                </c:pt>
                <c:pt idx="3">
                  <c:v>-1890.331000</c:v>
                </c:pt>
                <c:pt idx="4">
                  <c:v>-799.142000</c:v>
                </c:pt>
                <c:pt idx="5">
                  <c:v>132.178000</c:v>
                </c:pt>
                <c:pt idx="6">
                  <c:v>-212.505000</c:v>
                </c:pt>
                <c:pt idx="7">
                  <c:v>-561.770000</c:v>
                </c:pt>
                <c:pt idx="8">
                  <c:v>1393.423000</c:v>
                </c:pt>
                <c:pt idx="9">
                  <c:v>3797.445000</c:v>
                </c:pt>
                <c:pt idx="10">
                  <c:v>9016.093000</c:v>
                </c:pt>
                <c:pt idx="11">
                  <c:v>4648.104000</c:v>
                </c:pt>
                <c:pt idx="12">
                  <c:v>2642.904000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"/>
        <c:minorUnit val="1875"/>
      </c:valAx>
      <c:spPr>
        <a:noFill/>
        <a:ln w="12700" cap="flat">
          <a:noFill/>
          <a:miter lim="400000"/>
        </a:ln>
        <a:effectLst/>
      </c:spPr>
    </c:plotArea>
    <c:legend>
      <c:legendPos val="t"/>
      <c:layout>
        <c:manualLayout>
          <c:xMode val="edge"/>
          <c:yMode val="edge"/>
          <c:x val="0.0647062"/>
          <c:y val="0"/>
          <c:w val="0.9"/>
          <c:h val="0.0640667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503882</xdr:colOff>
      <xdr:row>2</xdr:row>
      <xdr:rowOff>29458</xdr:rowOff>
    </xdr:from>
    <xdr:to>
      <xdr:col>13</xdr:col>
      <xdr:colOff>345096</xdr:colOff>
      <xdr:row>47</xdr:row>
      <xdr:rowOff>94333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406082" y="1148328"/>
          <a:ext cx="8553415" cy="115520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19</xdr:row>
      <xdr:rowOff>138139</xdr:rowOff>
    </xdr:from>
    <xdr:to>
      <xdr:col>5</xdr:col>
      <xdr:colOff>75932</xdr:colOff>
      <xdr:row>34</xdr:row>
      <xdr:rowOff>157189</xdr:rowOff>
    </xdr:to>
    <xdr:graphicFrame>
      <xdr:nvGraphicFramePr>
        <xdr:cNvPr id="4" name="2D Line Chart"/>
        <xdr:cNvGraphicFramePr/>
      </xdr:nvGraphicFramePr>
      <xdr:xfrm>
        <a:off x="-1" y="5073994"/>
        <a:ext cx="3568434" cy="3810001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4.0859" style="1" customWidth="1"/>
    <col min="2" max="2" width="14.7656" style="1" customWidth="1"/>
    <col min="3" max="6" width="8.77344" style="1" customWidth="1"/>
    <col min="7" max="16384" width="16.3516" style="1" customWidth="1"/>
  </cols>
  <sheetData>
    <row r="1" ht="60.4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5"/>
      <c r="E3" s="4"/>
      <c r="F3" t="s" s="6">
        <v>2</v>
      </c>
    </row>
    <row r="4" ht="20.3" customHeight="1">
      <c r="B4" t="s" s="7">
        <v>3</v>
      </c>
      <c r="C4" s="8">
        <f>AVERAGE('Sales'!G28:G31)</f>
        <v>0.133028093681986</v>
      </c>
      <c r="D4" s="9"/>
      <c r="E4" s="9"/>
      <c r="F4" s="10">
        <f>AVERAGE(C5:F5)</f>
        <v>0.04</v>
      </c>
    </row>
    <row r="5" ht="20.1" customHeight="1">
      <c r="B5" t="s" s="11">
        <v>4</v>
      </c>
      <c r="C5" s="12">
        <v>0.1</v>
      </c>
      <c r="D5" s="13">
        <v>-0.01</v>
      </c>
      <c r="E5" s="13">
        <v>0.04</v>
      </c>
      <c r="F5" s="13">
        <v>0.03</v>
      </c>
    </row>
    <row r="6" ht="20.1" customHeight="1">
      <c r="B6" t="s" s="11">
        <v>5</v>
      </c>
      <c r="C6" s="14">
        <f>'Sales'!C31*(1+C5)</f>
        <v>5398.58</v>
      </c>
      <c r="D6" s="15">
        <f>C6*(1+D5)</f>
        <v>5344.5942</v>
      </c>
      <c r="E6" s="15">
        <f>D6*(1+E5)</f>
        <v>5558.377968</v>
      </c>
      <c r="F6" s="15">
        <f>E6*(1+F5)</f>
        <v>5725.12930704</v>
      </c>
    </row>
    <row r="7" ht="20.1" customHeight="1">
      <c r="B7" t="s" s="11">
        <v>6</v>
      </c>
      <c r="C7" s="16">
        <f>AVERAGE('Sales'!H31)</f>
        <v>-0.812899873670484</v>
      </c>
      <c r="D7" s="17">
        <f>C7</f>
        <v>-0.812899873670484</v>
      </c>
      <c r="E7" s="17">
        <f>D7</f>
        <v>-0.812899873670484</v>
      </c>
      <c r="F7" s="17">
        <f>E7</f>
        <v>-0.812899873670484</v>
      </c>
    </row>
    <row r="8" ht="20.1" customHeight="1">
      <c r="B8" t="s" s="11">
        <v>7</v>
      </c>
      <c r="C8" s="18">
        <f>C7*C6</f>
        <v>-4388.505</v>
      </c>
      <c r="D8" s="19">
        <f>D7*D6</f>
        <v>-4344.61995</v>
      </c>
      <c r="E8" s="19">
        <f>E7*E6</f>
        <v>-4518.404748</v>
      </c>
      <c r="F8" s="19">
        <f>F7*F6</f>
        <v>-4653.95689044</v>
      </c>
    </row>
    <row r="9" ht="20.1" customHeight="1">
      <c r="B9" t="s" s="11">
        <v>8</v>
      </c>
      <c r="C9" s="18">
        <f>C6+C8</f>
        <v>1010.075</v>
      </c>
      <c r="D9" s="19">
        <f>D6+D8</f>
        <v>999.97425</v>
      </c>
      <c r="E9" s="19">
        <f>E6+E8</f>
        <v>1039.97322</v>
      </c>
      <c r="F9" s="19">
        <f>F6+F8</f>
        <v>1071.1724166</v>
      </c>
    </row>
    <row r="10" ht="20.05" customHeight="1">
      <c r="B10" t="s" s="11">
        <v>9</v>
      </c>
      <c r="C10" s="18">
        <f>AVERAGE('Cashflow'!E28:E31)</f>
        <v>-193.25</v>
      </c>
      <c r="D10" s="19">
        <f>C10</f>
        <v>-193.25</v>
      </c>
      <c r="E10" s="19">
        <f>D10</f>
        <v>-193.25</v>
      </c>
      <c r="F10" s="19">
        <f>E10</f>
        <v>-193.25</v>
      </c>
    </row>
    <row r="11" ht="20.1" customHeight="1">
      <c r="B11" t="s" s="11">
        <v>10</v>
      </c>
      <c r="C11" s="18">
        <f>C12+C13+C15</f>
        <v>-497.4325</v>
      </c>
      <c r="D11" s="19">
        <f>D12+D13+D15</f>
        <v>-475.464925</v>
      </c>
      <c r="E11" s="19">
        <f>E12+E13+E15</f>
        <v>-459.555197</v>
      </c>
      <c r="F11" s="19">
        <f>F12+F13+F15</f>
        <v>-443.76097291</v>
      </c>
    </row>
    <row r="12" ht="20.1" customHeight="1">
      <c r="B12" t="s" s="11">
        <v>11</v>
      </c>
      <c r="C12" s="18">
        <f>-('Balance sheets '!G26)/20</f>
        <v>-419.15</v>
      </c>
      <c r="D12" s="19">
        <f>-C26/20</f>
        <v>-398.1925</v>
      </c>
      <c r="E12" s="19">
        <f>-D26/20</f>
        <v>-378.282875</v>
      </c>
      <c r="F12" s="19">
        <f>-E26/20</f>
        <v>-359.36873125</v>
      </c>
    </row>
    <row r="13" ht="20.1" customHeight="1">
      <c r="B13" t="s" s="11">
        <v>12</v>
      </c>
      <c r="C13" s="18">
        <f>IF(C21&gt;0,-C21*0.1,0)</f>
        <v>-78.2825</v>
      </c>
      <c r="D13" s="19">
        <f>IF(D21&gt;0,-D21*0.1,0)</f>
        <v>-77.272425</v>
      </c>
      <c r="E13" s="19">
        <f>IF(E21&gt;0,-E21*0.1,0)</f>
        <v>-81.272322</v>
      </c>
      <c r="F13" s="19">
        <f>IF(F21&gt;0,-F21*0.1,0)</f>
        <v>-84.39224166</v>
      </c>
    </row>
    <row r="14" ht="20.05" customHeight="1">
      <c r="B14" t="s" s="11">
        <v>13</v>
      </c>
      <c r="C14" s="18">
        <f>C9+C10+C12+C13</f>
        <v>319.3925</v>
      </c>
      <c r="D14" s="19">
        <f>D9+D10+D12+D13</f>
        <v>331.259325</v>
      </c>
      <c r="E14" s="19">
        <f>E9+E10+E12+E13</f>
        <v>387.168023</v>
      </c>
      <c r="F14" s="19">
        <f>F9+F10+F12+F13</f>
        <v>434.16144369</v>
      </c>
    </row>
    <row r="15" ht="20.1" customHeight="1">
      <c r="B15" t="s" s="11">
        <v>14</v>
      </c>
      <c r="C15" s="18">
        <f>-MIN(0,C14)</f>
        <v>0</v>
      </c>
      <c r="D15" s="19">
        <f>-MIN(C27,D14)</f>
        <v>0</v>
      </c>
      <c r="E15" s="19">
        <f>-MIN(D27,E14)</f>
        <v>0</v>
      </c>
      <c r="F15" s="19">
        <f>-MIN(E27,F14)</f>
        <v>0</v>
      </c>
    </row>
    <row r="16" ht="20.1" customHeight="1">
      <c r="B16" t="s" s="11">
        <v>15</v>
      </c>
      <c r="C16" s="18">
        <f>'Balance sheets '!B26</f>
        <v>1782</v>
      </c>
      <c r="D16" s="19">
        <f>C18</f>
        <v>2101.3925</v>
      </c>
      <c r="E16" s="19">
        <f>D18</f>
        <v>2432.651825</v>
      </c>
      <c r="F16" s="19">
        <f>E18</f>
        <v>2819.819848</v>
      </c>
    </row>
    <row r="17" ht="20.1" customHeight="1">
      <c r="B17" t="s" s="11">
        <v>16</v>
      </c>
      <c r="C17" s="18">
        <f>C9+C10+C11</f>
        <v>319.3925</v>
      </c>
      <c r="D17" s="19">
        <f>D9+D10+D11</f>
        <v>331.259325</v>
      </c>
      <c r="E17" s="19">
        <f>E9+E10+E11</f>
        <v>387.168023</v>
      </c>
      <c r="F17" s="19">
        <f>F9+F10+F11</f>
        <v>434.16144369</v>
      </c>
    </row>
    <row r="18" ht="20.1" customHeight="1">
      <c r="B18" t="s" s="11">
        <v>17</v>
      </c>
      <c r="C18" s="18">
        <f>C16+C17</f>
        <v>2101.3925</v>
      </c>
      <c r="D18" s="19">
        <f>D16+D17</f>
        <v>2432.651825</v>
      </c>
      <c r="E18" s="19">
        <f>E16+E17</f>
        <v>2819.819848</v>
      </c>
      <c r="F18" s="19">
        <f>F16+F17</f>
        <v>3253.98129169</v>
      </c>
    </row>
    <row r="19" ht="20.1" customHeight="1">
      <c r="B19" t="s" s="20">
        <v>18</v>
      </c>
      <c r="C19" s="21"/>
      <c r="D19" s="22"/>
      <c r="E19" s="22"/>
      <c r="F19" s="23"/>
    </row>
    <row r="20" ht="20.1" customHeight="1">
      <c r="B20" t="s" s="11">
        <v>19</v>
      </c>
      <c r="C20" s="18">
        <f>-AVERAGE('Sales'!E31)</f>
        <v>-227.25</v>
      </c>
      <c r="D20" s="19">
        <f>C20</f>
        <v>-227.25</v>
      </c>
      <c r="E20" s="19">
        <f>D20</f>
        <v>-227.25</v>
      </c>
      <c r="F20" s="19">
        <f>E20</f>
        <v>-227.25</v>
      </c>
    </row>
    <row r="21" ht="20.1" customHeight="1">
      <c r="B21" t="s" s="11">
        <v>20</v>
      </c>
      <c r="C21" s="18">
        <f>C6+C8+C20</f>
        <v>782.825</v>
      </c>
      <c r="D21" s="19">
        <f>D6+D8+D20</f>
        <v>772.72425</v>
      </c>
      <c r="E21" s="19">
        <f>E6+E8+E20</f>
        <v>812.72322</v>
      </c>
      <c r="F21" s="19">
        <f>F6+F8+F20</f>
        <v>843.9224166</v>
      </c>
    </row>
    <row r="22" ht="20.1" customHeight="1">
      <c r="B22" t="s" s="20">
        <v>21</v>
      </c>
      <c r="C22" s="21"/>
      <c r="D22" s="22"/>
      <c r="E22" s="22"/>
      <c r="F22" s="19"/>
    </row>
    <row r="23" ht="20.1" customHeight="1">
      <c r="B23" t="s" s="11">
        <v>22</v>
      </c>
      <c r="C23" s="18">
        <f>'Balance sheets '!D26+'Balance sheets '!E26-C10</f>
        <v>20402.5</v>
      </c>
      <c r="D23" s="19">
        <f>C23-D10</f>
        <v>20595.75</v>
      </c>
      <c r="E23" s="19">
        <f>D23-E10</f>
        <v>20789</v>
      </c>
      <c r="F23" s="19">
        <f>E23-F10</f>
        <v>20982.25</v>
      </c>
    </row>
    <row r="24" ht="20.1" customHeight="1">
      <c r="B24" t="s" s="11">
        <v>23</v>
      </c>
      <c r="C24" s="18">
        <f>'Balance sheets '!E26-C20</f>
        <v>7527.5</v>
      </c>
      <c r="D24" s="19">
        <f>C24-D20</f>
        <v>7754.75</v>
      </c>
      <c r="E24" s="19">
        <f>D24-E20</f>
        <v>7982</v>
      </c>
      <c r="F24" s="19">
        <f>E24-F20</f>
        <v>8209.25</v>
      </c>
    </row>
    <row r="25" ht="20.1" customHeight="1">
      <c r="B25" t="s" s="11">
        <v>24</v>
      </c>
      <c r="C25" s="18">
        <f>C23-C24</f>
        <v>12875</v>
      </c>
      <c r="D25" s="19">
        <f>D23-D24</f>
        <v>12841</v>
      </c>
      <c r="E25" s="19">
        <f>E23-E24</f>
        <v>12807</v>
      </c>
      <c r="F25" s="19">
        <f>F23-F24</f>
        <v>12773</v>
      </c>
    </row>
    <row r="26" ht="20.1" customHeight="1">
      <c r="B26" t="s" s="11">
        <v>11</v>
      </c>
      <c r="C26" s="18">
        <f>'Balance sheets '!G26+C12</f>
        <v>7963.85</v>
      </c>
      <c r="D26" s="19">
        <f>C26+D12</f>
        <v>7565.6575</v>
      </c>
      <c r="E26" s="19">
        <f>D26+E12</f>
        <v>7187.374625</v>
      </c>
      <c r="F26" s="19">
        <f>E26+F12</f>
        <v>6828.00589375</v>
      </c>
    </row>
    <row r="27" ht="20.1" customHeight="1">
      <c r="B27" t="s" s="11">
        <v>14</v>
      </c>
      <c r="C27" s="18">
        <f>C15</f>
        <v>0</v>
      </c>
      <c r="D27" s="19">
        <f>C27+D15</f>
        <v>0</v>
      </c>
      <c r="E27" s="19">
        <f>D27+E15</f>
        <v>0</v>
      </c>
      <c r="F27" s="19">
        <f>E27+F15</f>
        <v>0</v>
      </c>
    </row>
    <row r="28" ht="20.05" customHeight="1">
      <c r="B28" t="s" s="11">
        <v>25</v>
      </c>
      <c r="C28" s="18">
        <f>'Balance sheets '!H26+C21+C13</f>
        <v>7012.5425</v>
      </c>
      <c r="D28" s="19">
        <f>C28+D21+D13</f>
        <v>7707.994325</v>
      </c>
      <c r="E28" s="19">
        <f>D28+E21+E13</f>
        <v>8439.445223000001</v>
      </c>
      <c r="F28" s="19">
        <f>E28+F21+F13</f>
        <v>9198.975397939999</v>
      </c>
    </row>
    <row r="29" ht="20.1" customHeight="1">
      <c r="B29" t="s" s="11">
        <v>26</v>
      </c>
      <c r="C29" s="18">
        <f>C26+C27+C28-C18-C25</f>
        <v>0</v>
      </c>
      <c r="D29" s="19">
        <f>D26+D27+D28-D18-D25</f>
        <v>0</v>
      </c>
      <c r="E29" s="19">
        <f>E26+E27+E28-E18-E25</f>
        <v>0</v>
      </c>
      <c r="F29" s="19">
        <f>F26+F27+F28-F18-F25</f>
        <v>0</v>
      </c>
    </row>
    <row r="30" ht="20.1" customHeight="1">
      <c r="B30" t="s" s="11">
        <v>27</v>
      </c>
      <c r="C30" s="18">
        <f>C18-C26-C27</f>
        <v>-5862.4575</v>
      </c>
      <c r="D30" s="19">
        <f>D18-D26-D27</f>
        <v>-5133.005675</v>
      </c>
      <c r="E30" s="19">
        <f>E18-E26-E27</f>
        <v>-4367.554777</v>
      </c>
      <c r="F30" s="19">
        <f>F18-F26-F27</f>
        <v>-3574.02460206</v>
      </c>
    </row>
    <row r="31" ht="20.1" customHeight="1">
      <c r="B31" t="s" s="20">
        <v>28</v>
      </c>
      <c r="C31" s="18"/>
      <c r="D31" s="19"/>
      <c r="E31" s="19"/>
      <c r="F31" s="19"/>
    </row>
    <row r="32" ht="20.1" customHeight="1">
      <c r="B32" t="s" s="11">
        <v>29</v>
      </c>
      <c r="C32" s="18">
        <f>'Cashflow'!N31-C11</f>
        <v>-1118.6175</v>
      </c>
      <c r="D32" s="19">
        <f>C32-D11</f>
        <v>-643.152575</v>
      </c>
      <c r="E32" s="19">
        <f>D32-E11</f>
        <v>-183.597378</v>
      </c>
      <c r="F32" s="19">
        <f>E32-F11</f>
        <v>260.16359491</v>
      </c>
    </row>
    <row r="33" ht="20.1" customHeight="1">
      <c r="B33" t="s" s="11">
        <v>30</v>
      </c>
      <c r="C33" s="18"/>
      <c r="D33" s="19"/>
      <c r="E33" s="19"/>
      <c r="F33" s="19">
        <v>11916400230400</v>
      </c>
    </row>
    <row r="34" ht="20.1" customHeight="1">
      <c r="B34" t="s" s="11">
        <v>30</v>
      </c>
      <c r="C34" s="18"/>
      <c r="D34" s="19"/>
      <c r="E34" s="19"/>
      <c r="F34" s="19">
        <f>F33/1000000000</f>
        <v>11916.4002304</v>
      </c>
    </row>
    <row r="35" ht="20.1" customHeight="1">
      <c r="B35" t="s" s="11">
        <v>31</v>
      </c>
      <c r="C35" s="18"/>
      <c r="D35" s="19"/>
      <c r="E35" s="19"/>
      <c r="F35" s="24">
        <f>F34/(F18+F25)</f>
        <v>0.7435211917654549</v>
      </c>
    </row>
    <row r="36" ht="20.1" customHeight="1">
      <c r="B36" t="s" s="11">
        <v>32</v>
      </c>
      <c r="C36" s="18"/>
      <c r="D36" s="19"/>
      <c r="E36" s="19"/>
      <c r="F36" s="17">
        <f>-(C13+D13+E13+F13)/F34</f>
        <v>0.0269560842577723</v>
      </c>
    </row>
    <row r="37" ht="20.1" customHeight="1">
      <c r="B37" t="s" s="11">
        <v>3</v>
      </c>
      <c r="C37" s="18"/>
      <c r="D37" s="19"/>
      <c r="E37" s="19"/>
      <c r="F37" s="19">
        <f>SUM(C9:F10)</f>
        <v>3348.1948866</v>
      </c>
    </row>
    <row r="38" ht="20.1" customHeight="1">
      <c r="B38" t="s" s="11">
        <v>33</v>
      </c>
      <c r="C38" s="18"/>
      <c r="D38" s="19"/>
      <c r="E38" s="19"/>
      <c r="F38" s="19">
        <f>'Balance sheets '!D26/F37</f>
        <v>3.85551033832106</v>
      </c>
    </row>
    <row r="39" ht="20.1" customHeight="1">
      <c r="B39" t="s" s="11">
        <v>28</v>
      </c>
      <c r="C39" s="18"/>
      <c r="D39" s="19"/>
      <c r="E39" s="19"/>
      <c r="F39" s="19">
        <f>F34/F37</f>
        <v>3.55905215616071</v>
      </c>
    </row>
    <row r="40" ht="20.1" customHeight="1">
      <c r="B40" t="s" s="11">
        <v>34</v>
      </c>
      <c r="C40" s="18"/>
      <c r="D40" s="19"/>
      <c r="E40" s="19"/>
      <c r="F40" s="19">
        <v>7</v>
      </c>
    </row>
    <row r="41" ht="20.1" customHeight="1">
      <c r="B41" t="s" s="11">
        <v>35</v>
      </c>
      <c r="C41" s="18"/>
      <c r="D41" s="19"/>
      <c r="E41" s="19"/>
      <c r="F41" s="19">
        <f>F37*F40</f>
        <v>23437.3642062</v>
      </c>
    </row>
    <row r="42" ht="20.1" customHeight="1">
      <c r="B42" t="s" s="11">
        <v>36</v>
      </c>
      <c r="C42" s="18"/>
      <c r="D42" s="19"/>
      <c r="E42" s="19"/>
      <c r="F42" s="19">
        <f>F34/F44</f>
        <v>7.447750144</v>
      </c>
    </row>
    <row r="43" ht="20.1" customHeight="1">
      <c r="B43" t="s" s="11">
        <v>37</v>
      </c>
      <c r="C43" s="18"/>
      <c r="D43" s="19"/>
      <c r="E43" s="19"/>
      <c r="F43" s="19">
        <f>F41/F42</f>
        <v>3146.905273813650</v>
      </c>
    </row>
    <row r="44" ht="20.1" customHeight="1">
      <c r="B44" t="s" s="11">
        <v>38</v>
      </c>
      <c r="C44" s="18"/>
      <c r="D44" s="19"/>
      <c r="E44" s="19"/>
      <c r="F44" s="19">
        <v>1600</v>
      </c>
    </row>
    <row r="45" ht="20.1" customHeight="1">
      <c r="B45" t="s" s="11">
        <v>39</v>
      </c>
      <c r="C45" s="18"/>
      <c r="D45" s="19"/>
      <c r="E45" s="19"/>
      <c r="F45" s="17">
        <f>F43/F44-1</f>
        <v>0.966815796133531</v>
      </c>
    </row>
    <row r="46" ht="20.1" customHeight="1">
      <c r="B46" t="s" s="11">
        <v>40</v>
      </c>
      <c r="C46" s="18"/>
      <c r="D46" s="19"/>
      <c r="E46" s="19"/>
      <c r="F46" s="17">
        <f>'Sales'!C31/'Sales'!C27-1</f>
        <v>0.469005357837708</v>
      </c>
    </row>
    <row r="47" ht="20.1" customHeight="1">
      <c r="B47" t="s" s="11">
        <v>41</v>
      </c>
      <c r="C47" s="18"/>
      <c r="D47" s="19"/>
      <c r="E47" s="19"/>
      <c r="F47" s="17">
        <f>('Sales'!D26+'Sales'!D31+'Sales'!D30+'Sales'!D27+'Sales'!D28+'Sales'!D29)/('Sales'!C26+'Sales'!C27+'Sales'!C28+'Sales'!C31+'Sales'!C30+'Sales'!C29)-1</f>
        <v>0.0189728987364951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M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0.914062" style="25" customWidth="1"/>
    <col min="2" max="2" width="11.3125" style="25" customWidth="1"/>
    <col min="3" max="13" width="10.6875" style="25" customWidth="1"/>
    <col min="14" max="16384" width="16.3516" style="25" customWidth="1"/>
  </cols>
  <sheetData>
    <row r="1" ht="9.3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2.25" customHeight="1">
      <c r="B3" t="s" s="6">
        <v>1</v>
      </c>
      <c r="C3" t="s" s="6">
        <v>5</v>
      </c>
      <c r="D3" t="s" s="6">
        <v>34</v>
      </c>
      <c r="E3" t="s" s="6">
        <v>23</v>
      </c>
      <c r="F3" t="s" s="6">
        <v>42</v>
      </c>
      <c r="G3" t="s" s="6">
        <v>43</v>
      </c>
      <c r="H3" t="s" s="6">
        <v>44</v>
      </c>
      <c r="I3" t="s" s="6">
        <v>44</v>
      </c>
      <c r="J3" t="s" s="6">
        <v>34</v>
      </c>
      <c r="K3" t="s" s="6">
        <v>45</v>
      </c>
      <c r="L3" t="s" s="26">
        <v>46</v>
      </c>
      <c r="M3" s="27"/>
    </row>
    <row r="4" ht="20.25" customHeight="1">
      <c r="B4" s="28">
        <v>2015</v>
      </c>
      <c r="C4" s="29">
        <v>1374</v>
      </c>
      <c r="D4" s="30"/>
      <c r="E4" s="31">
        <v>114.75</v>
      </c>
      <c r="F4" s="31">
        <v>-6</v>
      </c>
      <c r="G4" s="10"/>
      <c r="H4" s="32">
        <f>(E4+F4-C4)/C4</f>
        <v>-0.920851528384279</v>
      </c>
      <c r="I4" s="32"/>
      <c r="J4" s="32"/>
      <c r="K4" s="32"/>
      <c r="L4" s="31"/>
      <c r="M4" s="31"/>
    </row>
    <row r="5" ht="20.05" customHeight="1">
      <c r="B5" s="33"/>
      <c r="C5" s="18">
        <v>1842</v>
      </c>
      <c r="D5" s="34"/>
      <c r="E5" s="19">
        <v>114.75</v>
      </c>
      <c r="F5" s="19">
        <v>17</v>
      </c>
      <c r="G5" s="17">
        <f>C5/C4-1</f>
        <v>0.34061135371179</v>
      </c>
      <c r="H5" s="17">
        <f>(E5+F5-C5)/C5</f>
        <v>-0.928474484256243</v>
      </c>
      <c r="I5" s="17"/>
      <c r="J5" s="17"/>
      <c r="K5" s="17"/>
      <c r="L5" s="19"/>
      <c r="M5" s="19"/>
    </row>
    <row r="6" ht="20.05" customHeight="1">
      <c r="B6" s="33"/>
      <c r="C6" s="18">
        <v>1927</v>
      </c>
      <c r="D6" s="34"/>
      <c r="E6" s="19">
        <v>114.75</v>
      </c>
      <c r="F6" s="19">
        <v>-1</v>
      </c>
      <c r="G6" s="17">
        <f>C6/C5-1</f>
        <v>0.0461454940282302</v>
      </c>
      <c r="H6" s="17">
        <f>(E6+F6-C6)/C6</f>
        <v>-0.940970420342501</v>
      </c>
      <c r="I6" s="17"/>
      <c r="J6" s="17"/>
      <c r="K6" s="17"/>
      <c r="L6" s="19"/>
      <c r="M6" s="19"/>
    </row>
    <row r="7" ht="20.05" customHeight="1">
      <c r="B7" s="33"/>
      <c r="C7" s="18">
        <v>1731</v>
      </c>
      <c r="D7" s="34"/>
      <c r="E7" s="19">
        <v>114.75</v>
      </c>
      <c r="F7" s="19">
        <v>92</v>
      </c>
      <c r="G7" s="17">
        <f>C7/C6-1</f>
        <v>-0.101712506486767</v>
      </c>
      <c r="H7" s="17">
        <f>(E7+F7-C7)/C7</f>
        <v>-0.880560369728481</v>
      </c>
      <c r="I7" s="17"/>
      <c r="J7" s="17"/>
      <c r="K7" s="17"/>
      <c r="L7" s="19"/>
      <c r="M7" s="19"/>
    </row>
    <row r="8" ht="20.05" customHeight="1">
      <c r="B8" s="35">
        <v>2016</v>
      </c>
      <c r="C8" s="18">
        <v>1302</v>
      </c>
      <c r="D8" s="34"/>
      <c r="E8" s="19">
        <v>124</v>
      </c>
      <c r="F8" s="19">
        <v>-139</v>
      </c>
      <c r="G8" s="17">
        <f>C8/C7-1</f>
        <v>-0.247833622183709</v>
      </c>
      <c r="H8" s="17">
        <f>(E8+F8-C8)/C8</f>
        <v>-1.01152073732719</v>
      </c>
      <c r="I8" s="23"/>
      <c r="J8" s="17"/>
      <c r="K8" s="17">
        <f>('Cashflow'!D8+'Cashflow'!F8-'Cashflow'!C8)/'Cashflow'!C8</f>
        <v>-0.656939501779359</v>
      </c>
      <c r="L8" s="19"/>
      <c r="M8" s="19"/>
    </row>
    <row r="9" ht="20.05" customHeight="1">
      <c r="B9" s="33"/>
      <c r="C9" s="18">
        <v>1494</v>
      </c>
      <c r="D9" s="34"/>
      <c r="E9" s="19">
        <v>116</v>
      </c>
      <c r="F9" s="19">
        <v>106</v>
      </c>
      <c r="G9" s="17">
        <f>C9/C8-1</f>
        <v>0.147465437788018</v>
      </c>
      <c r="H9" s="17">
        <f>(E9+F9-C9)/C9</f>
        <v>-0.85140562248996</v>
      </c>
      <c r="I9" s="23"/>
      <c r="J9" s="17"/>
      <c r="K9" s="17">
        <f>('Cashflow'!D9+'Cashflow'!F9-'Cashflow'!C9)/'Cashflow'!C9</f>
        <v>-1.02431834929993</v>
      </c>
      <c r="L9" s="19"/>
      <c r="M9" s="19"/>
    </row>
    <row r="10" ht="20.05" customHeight="1">
      <c r="B10" s="33"/>
      <c r="C10" s="18">
        <v>1796</v>
      </c>
      <c r="D10" s="34"/>
      <c r="E10" s="19">
        <v>146</v>
      </c>
      <c r="F10" s="19">
        <v>84</v>
      </c>
      <c r="G10" s="17">
        <f>C10/C9-1</f>
        <v>0.202141900937082</v>
      </c>
      <c r="H10" s="17">
        <f>(E10+F10-C10)/C10</f>
        <v>-0.871937639198218</v>
      </c>
      <c r="I10" s="23"/>
      <c r="J10" s="17"/>
      <c r="K10" s="17">
        <f>('Cashflow'!D10+'Cashflow'!F10-'Cashflow'!C10)/'Cashflow'!C10</f>
        <v>-0.653084323712507</v>
      </c>
      <c r="L10" s="19"/>
      <c r="M10" s="19"/>
    </row>
    <row r="11" ht="20.05" customHeight="1">
      <c r="B11" s="33"/>
      <c r="C11" s="18">
        <v>2376</v>
      </c>
      <c r="D11" s="34"/>
      <c r="E11" s="19">
        <v>138</v>
      </c>
      <c r="F11" s="19">
        <v>201</v>
      </c>
      <c r="G11" s="17">
        <f>C11/C10-1</f>
        <v>0.32293986636971</v>
      </c>
      <c r="H11" s="17">
        <f>(E11+F11-C11)/C11</f>
        <v>-0.857323232323232</v>
      </c>
      <c r="I11" s="23"/>
      <c r="J11" s="17"/>
      <c r="K11" s="17">
        <f>('Cashflow'!D11+'Cashflow'!F11-'Cashflow'!C11)/'Cashflow'!C11</f>
        <v>-1.04368932038835</v>
      </c>
      <c r="L11" s="19"/>
      <c r="M11" s="19"/>
    </row>
    <row r="12" ht="20.05" customHeight="1">
      <c r="B12" s="35">
        <v>2017</v>
      </c>
      <c r="C12" s="18">
        <v>2048</v>
      </c>
      <c r="D12" s="34"/>
      <c r="E12" s="19">
        <v>118</v>
      </c>
      <c r="F12" s="19">
        <v>66</v>
      </c>
      <c r="G12" s="17">
        <f>C12/C11-1</f>
        <v>-0.138047138047138</v>
      </c>
      <c r="H12" s="17">
        <f>(E12+F12-C12)/C12</f>
        <v>-0.91015625</v>
      </c>
      <c r="I12" s="17">
        <f>AVERAGE(H9:H12)</f>
        <v>-0.872705686002853</v>
      </c>
      <c r="J12" s="17"/>
      <c r="K12" s="17">
        <f>('Cashflow'!D12+'Cashflow'!F12-'Cashflow'!C12)/'Cashflow'!C12</f>
        <v>-1.1267258382643</v>
      </c>
      <c r="L12" s="19"/>
      <c r="M12" s="19"/>
    </row>
    <row r="13" ht="20.05" customHeight="1">
      <c r="B13" s="33"/>
      <c r="C13" s="18">
        <v>2253</v>
      </c>
      <c r="D13" s="34"/>
      <c r="E13" s="19">
        <v>141</v>
      </c>
      <c r="F13" s="19">
        <v>85</v>
      </c>
      <c r="G13" s="17">
        <f>C13/C12-1</f>
        <v>0.100097656250</v>
      </c>
      <c r="H13" s="17">
        <f>(E13+F13-C13)/C13</f>
        <v>-0.899689303151354</v>
      </c>
      <c r="I13" s="17">
        <f>AVERAGE(H10:H13)</f>
        <v>-0.884776606168201</v>
      </c>
      <c r="J13" s="17"/>
      <c r="K13" s="17">
        <f>('Cashflow'!D13+'Cashflow'!F13-'Cashflow'!C13)/'Cashflow'!C13</f>
        <v>-1.07523097228333</v>
      </c>
      <c r="L13" s="19"/>
      <c r="M13" s="19"/>
    </row>
    <row r="14" ht="20.05" customHeight="1">
      <c r="B14" s="33"/>
      <c r="C14" s="18">
        <v>2320</v>
      </c>
      <c r="D14" s="34"/>
      <c r="E14" s="19">
        <v>120</v>
      </c>
      <c r="F14" s="19">
        <v>150</v>
      </c>
      <c r="G14" s="17">
        <f>C14/C13-1</f>
        <v>0.0297381269418553</v>
      </c>
      <c r="H14" s="17">
        <f>(E14+F14-C14)/C14</f>
        <v>-0.883620689655172</v>
      </c>
      <c r="I14" s="17">
        <f>AVERAGE(H11:H14)</f>
        <v>-0.88769736878244</v>
      </c>
      <c r="J14" s="17"/>
      <c r="K14" s="17">
        <f>('Cashflow'!D14+'Cashflow'!F14-'Cashflow'!C14)/'Cashflow'!C14</f>
        <v>-0.944418276024494</v>
      </c>
      <c r="L14" s="19"/>
      <c r="M14" s="19"/>
    </row>
    <row r="15" ht="20.05" customHeight="1">
      <c r="B15" s="33"/>
      <c r="C15" s="18">
        <v>2596</v>
      </c>
      <c r="D15" s="34"/>
      <c r="E15" s="19">
        <v>136</v>
      </c>
      <c r="F15" s="19">
        <v>201</v>
      </c>
      <c r="G15" s="17">
        <f>C15/C14-1</f>
        <v>0.118965517241379</v>
      </c>
      <c r="H15" s="17">
        <f>(E15+F15-C15)/C15</f>
        <v>-0.870184899845917</v>
      </c>
      <c r="I15" s="17">
        <f>AVERAGE(H12:H15)</f>
        <v>-0.8909127856631111</v>
      </c>
      <c r="J15" s="17"/>
      <c r="K15" s="17">
        <f>('Cashflow'!D15+'Cashflow'!F15-'Cashflow'!C15)/'Cashflow'!C15</f>
        <v>-1.01968134957826</v>
      </c>
      <c r="L15" s="19"/>
      <c r="M15" s="19"/>
    </row>
    <row r="16" ht="20.05" customHeight="1">
      <c r="B16" s="35">
        <v>2018</v>
      </c>
      <c r="C16" s="18">
        <v>2035</v>
      </c>
      <c r="D16" s="34"/>
      <c r="E16" s="19">
        <v>135</v>
      </c>
      <c r="F16" s="19">
        <v>55</v>
      </c>
      <c r="G16" s="17">
        <f>C16/C15-1</f>
        <v>-0.216101694915254</v>
      </c>
      <c r="H16" s="17">
        <f>(E16+F16-C16)/C16</f>
        <v>-0.906633906633907</v>
      </c>
      <c r="I16" s="17">
        <f>AVERAGE(H13:H16)</f>
        <v>-0.890032199821588</v>
      </c>
      <c r="J16" s="17"/>
      <c r="K16" s="17">
        <f>('Cashflow'!D16+'Cashflow'!F16-'Cashflow'!C16)/'Cashflow'!C16</f>
        <v>-0.783652043494563</v>
      </c>
      <c r="L16" s="19"/>
      <c r="M16" s="19"/>
    </row>
    <row r="17" ht="20.05" customHeight="1">
      <c r="B17" s="33"/>
      <c r="C17" s="18">
        <v>2342</v>
      </c>
      <c r="D17" s="34"/>
      <c r="E17" s="19">
        <v>141</v>
      </c>
      <c r="F17" s="19">
        <v>115</v>
      </c>
      <c r="G17" s="17">
        <f>C17/C16-1</f>
        <v>0.150859950859951</v>
      </c>
      <c r="H17" s="17">
        <f>(E17+F17-C17)/C17</f>
        <v>-0.89069171648164</v>
      </c>
      <c r="I17" s="17">
        <f>AVERAGE(H14:H17)</f>
        <v>-0.887782803154159</v>
      </c>
      <c r="J17" s="17"/>
      <c r="K17" s="17">
        <f>('Cashflow'!D17+'Cashflow'!F17-'Cashflow'!C17)/'Cashflow'!C17</f>
        <v>-1.47950819672131</v>
      </c>
      <c r="L17" s="19"/>
      <c r="M17" s="19"/>
    </row>
    <row r="18" ht="20.05" customHeight="1">
      <c r="B18" s="33"/>
      <c r="C18" s="18">
        <v>2425</v>
      </c>
      <c r="D18" s="34"/>
      <c r="E18" s="19">
        <v>136</v>
      </c>
      <c r="F18" s="19">
        <v>86</v>
      </c>
      <c r="G18" s="17">
        <f>C18/C17-1</f>
        <v>0.0354397950469684</v>
      </c>
      <c r="H18" s="17">
        <f>(E18+F18-C18)/C18</f>
        <v>-0.9084536082474231</v>
      </c>
      <c r="I18" s="17">
        <f>AVERAGE(H15:H18)</f>
        <v>-0.893991032802222</v>
      </c>
      <c r="J18" s="17"/>
      <c r="K18" s="17">
        <f>('Cashflow'!D18+'Cashflow'!F18-'Cashflow'!C18)/'Cashflow'!C18</f>
        <v>-1.29305799648506</v>
      </c>
      <c r="L18" s="19"/>
      <c r="M18" s="19"/>
    </row>
    <row r="19" ht="20.05" customHeight="1">
      <c r="B19" s="33"/>
      <c r="C19" s="18">
        <v>4215</v>
      </c>
      <c r="D19" s="34"/>
      <c r="E19" s="19">
        <v>184</v>
      </c>
      <c r="F19" s="19">
        <v>275</v>
      </c>
      <c r="G19" s="17">
        <f>C19/C18-1</f>
        <v>0.738144329896907</v>
      </c>
      <c r="H19" s="17">
        <f>(E19+F19-C19)/C19</f>
        <v>-0.891103202846975</v>
      </c>
      <c r="I19" s="17">
        <f>AVERAGE(H16:H19)</f>
        <v>-0.899220608552486</v>
      </c>
      <c r="J19" s="17"/>
      <c r="K19" s="17">
        <f>('Cashflow'!D19+'Cashflow'!F19-'Cashflow'!C19)/'Cashflow'!C19</f>
        <v>-1.1962821213778</v>
      </c>
      <c r="L19" s="19"/>
      <c r="M19" s="19"/>
    </row>
    <row r="20" ht="20.05" customHeight="1">
      <c r="B20" s="35">
        <v>2019</v>
      </c>
      <c r="C20" s="18">
        <v>4167</v>
      </c>
      <c r="D20" s="34"/>
      <c r="E20" s="19">
        <v>157</v>
      </c>
      <c r="F20" s="19">
        <v>300.2</v>
      </c>
      <c r="G20" s="17">
        <f>C20/C19-1</f>
        <v>-0.0113879003558719</v>
      </c>
      <c r="H20" s="17">
        <f>(E20+F20-C20)/C20</f>
        <v>-0.890280777537797</v>
      </c>
      <c r="I20" s="17">
        <f>AVERAGE(H17:H20)</f>
        <v>-0.895132326278459</v>
      </c>
      <c r="J20" s="17"/>
      <c r="K20" s="17">
        <f>('Cashflow'!D20+'Cashflow'!F20-'Cashflow'!C20)/'Cashflow'!C20</f>
        <v>-1.43159970421494</v>
      </c>
      <c r="L20" s="19"/>
      <c r="M20" s="19"/>
    </row>
    <row r="21" ht="20.05" customHeight="1">
      <c r="B21" s="33"/>
      <c r="C21" s="18">
        <v>5487</v>
      </c>
      <c r="D21" s="34"/>
      <c r="E21" s="19">
        <v>190</v>
      </c>
      <c r="F21" s="19">
        <v>-95.2</v>
      </c>
      <c r="G21" s="17">
        <f>C21/C20-1</f>
        <v>0.316774658027358</v>
      </c>
      <c r="H21" s="17">
        <f>(E21+F21-C21)/C21</f>
        <v>-0.9827227993439041</v>
      </c>
      <c r="I21" s="17">
        <f>AVERAGE(H18:H21)</f>
        <v>-0.918140096994025</v>
      </c>
      <c r="J21" s="17"/>
      <c r="K21" s="17">
        <f>('Cashflow'!D21+'Cashflow'!F21-'Cashflow'!C21)/'Cashflow'!C21</f>
        <v>-1.35753176043557</v>
      </c>
      <c r="L21" s="19"/>
      <c r="M21" s="19"/>
    </row>
    <row r="22" ht="20.05" customHeight="1">
      <c r="B22" s="33"/>
      <c r="C22" s="18">
        <v>4946</v>
      </c>
      <c r="D22" s="34"/>
      <c r="E22" s="19">
        <v>202</v>
      </c>
      <c r="F22" s="19">
        <v>-384</v>
      </c>
      <c r="G22" s="17">
        <f>C22/C21-1</f>
        <v>-0.0985966830690724</v>
      </c>
      <c r="H22" s="17">
        <f>(E22+F22-C22)/C22</f>
        <v>-1.03679741205014</v>
      </c>
      <c r="I22" s="17">
        <f>AVERAGE(H19:H22)</f>
        <v>-0.950226047944704</v>
      </c>
      <c r="J22" s="17"/>
      <c r="K22" s="17">
        <f>('Cashflow'!D22+'Cashflow'!F22-'Cashflow'!C22)/'Cashflow'!C22</f>
        <v>-0.992900054614965</v>
      </c>
      <c r="L22" s="19"/>
      <c r="M22" s="19"/>
    </row>
    <row r="23" ht="20.05" customHeight="1">
      <c r="B23" s="33"/>
      <c r="C23" s="18">
        <v>4702.6</v>
      </c>
      <c r="D23" s="34"/>
      <c r="E23" s="19">
        <v>273</v>
      </c>
      <c r="F23" s="19">
        <v>-430</v>
      </c>
      <c r="G23" s="17">
        <f>C23/C22-1</f>
        <v>-0.049211484027497</v>
      </c>
      <c r="H23" s="17">
        <f>(E23+F23-C23)/C23</f>
        <v>-1.03338578658614</v>
      </c>
      <c r="I23" s="17">
        <f>AVERAGE(H20:H23)</f>
        <v>-0.985796693879495</v>
      </c>
      <c r="J23" s="17"/>
      <c r="K23" s="17">
        <f>('Cashflow'!D23+'Cashflow'!F23-'Cashflow'!C23)/'Cashflow'!C23</f>
        <v>-0.876327543424318</v>
      </c>
      <c r="L23" s="19"/>
      <c r="M23" s="19"/>
    </row>
    <row r="24" ht="20.05" customHeight="1">
      <c r="B24" s="35">
        <v>2020</v>
      </c>
      <c r="C24" s="18">
        <v>4384</v>
      </c>
      <c r="D24" s="34"/>
      <c r="E24" s="19">
        <v>202</v>
      </c>
      <c r="F24" s="19">
        <v>-413</v>
      </c>
      <c r="G24" s="17">
        <f>C24/C23-1</f>
        <v>-0.0677497554544295</v>
      </c>
      <c r="H24" s="17">
        <f>(E24+F24-C24)/C24</f>
        <v>-1.0481295620438</v>
      </c>
      <c r="I24" s="17">
        <f>AVERAGE(H21:H24)</f>
        <v>-1.025258890006</v>
      </c>
      <c r="J24" s="17"/>
      <c r="K24" s="17">
        <f>('Cashflow'!D24+'Cashflow'!F24-'Cashflow'!C24)/'Cashflow'!C24</f>
        <v>-0.76323084940073</v>
      </c>
      <c r="L24" s="19"/>
      <c r="M24" s="19"/>
    </row>
    <row r="25" ht="20.05" customHeight="1">
      <c r="B25" s="33"/>
      <c r="C25" s="18">
        <v>3595</v>
      </c>
      <c r="D25" s="34"/>
      <c r="E25" s="19">
        <v>187</v>
      </c>
      <c r="F25" s="19">
        <v>23</v>
      </c>
      <c r="G25" s="17">
        <f>C25/C24-1</f>
        <v>-0.179972627737226</v>
      </c>
      <c r="H25" s="17">
        <f>(E25+F25-C25)/C25</f>
        <v>-0.941585535465925</v>
      </c>
      <c r="I25" s="17">
        <f>AVERAGE(H22:H25)</f>
        <v>-1.0149745740365</v>
      </c>
      <c r="J25" s="17"/>
      <c r="K25" s="17">
        <f>('Cashflow'!D25+'Cashflow'!F25-'Cashflow'!C25)/'Cashflow'!C25</f>
        <v>-0.514385353095031</v>
      </c>
      <c r="L25" s="19"/>
      <c r="M25" s="19"/>
    </row>
    <row r="26" ht="20.05" customHeight="1">
      <c r="B26" s="33"/>
      <c r="C26" s="18">
        <v>3896.1</v>
      </c>
      <c r="D26" s="19">
        <v>3956.8</v>
      </c>
      <c r="E26" s="19">
        <v>194.1</v>
      </c>
      <c r="F26" s="19">
        <v>134.8</v>
      </c>
      <c r="G26" s="17">
        <f>C26/C25-1</f>
        <v>0.0837552155771905</v>
      </c>
      <c r="H26" s="17">
        <f>(E26+F26-C26)/C26</f>
        <v>-0.915582248915582</v>
      </c>
      <c r="I26" s="17">
        <f>AVERAGE(H23:H26)</f>
        <v>-0.9846707832528619</v>
      </c>
      <c r="J26" s="17"/>
      <c r="K26" s="17">
        <f>('Cashflow'!D26+'Cashflow'!F26-'Cashflow'!C26)/'Cashflow'!C26</f>
        <v>-0.599543474838642</v>
      </c>
      <c r="L26" s="19">
        <v>17494</v>
      </c>
      <c r="M26" s="19"/>
    </row>
    <row r="27" ht="20.05" customHeight="1">
      <c r="B27" s="33"/>
      <c r="C27" s="18">
        <v>3340.9</v>
      </c>
      <c r="D27" s="19">
        <v>4285.71</v>
      </c>
      <c r="E27" s="19">
        <v>219.9</v>
      </c>
      <c r="F27" s="19">
        <v>-85.8</v>
      </c>
      <c r="G27" s="17">
        <f>C27/C26-1</f>
        <v>-0.142501475834809</v>
      </c>
      <c r="H27" s="17">
        <f>(E27+F27-C27)/C27</f>
        <v>-0.9598611152683409</v>
      </c>
      <c r="I27" s="17">
        <f>AVERAGE(H24:H27)</f>
        <v>-0.966289615423412</v>
      </c>
      <c r="J27" s="17"/>
      <c r="K27" s="17">
        <f>('Cashflow'!D27+'Cashflow'!F27-'Cashflow'!C27)/'Cashflow'!C27</f>
        <v>-0.868943841546581</v>
      </c>
      <c r="L27" s="19">
        <v>20325</v>
      </c>
      <c r="M27" s="17">
        <f>L27/L26-1</f>
        <v>0.161826912084143</v>
      </c>
    </row>
    <row r="28" ht="20.05" customHeight="1">
      <c r="B28" s="35">
        <v>2021</v>
      </c>
      <c r="C28" s="18">
        <v>2445.7</v>
      </c>
      <c r="D28" s="19">
        <v>3307.491</v>
      </c>
      <c r="E28" s="34">
        <v>227.25</v>
      </c>
      <c r="F28" s="19">
        <v>10.3</v>
      </c>
      <c r="G28" s="17">
        <f>C28/C27-1</f>
        <v>-0.26795174952857</v>
      </c>
      <c r="H28" s="17">
        <f>(E28+F28-C28)/C28</f>
        <v>-0.902870343868831</v>
      </c>
      <c r="I28" s="17">
        <f>AVERAGE(H25:H28)</f>
        <v>-0.92997481087967</v>
      </c>
      <c r="J28" s="17"/>
      <c r="K28" s="17">
        <f>('Cashflow'!D28+'Cashflow'!F28-'Cashflow'!C28)/'Cashflow'!C28</f>
        <v>-0.674118524040253</v>
      </c>
      <c r="L28" s="19">
        <v>25388</v>
      </c>
      <c r="M28" s="17">
        <f>L28/L27-1</f>
        <v>0.24910209102091</v>
      </c>
    </row>
    <row r="29" ht="20.05" customHeight="1">
      <c r="B29" s="33"/>
      <c r="C29" s="18">
        <f>5870.1-C28</f>
        <v>3424.4</v>
      </c>
      <c r="D29" s="19">
        <v>2812.555</v>
      </c>
      <c r="E29" s="19">
        <v>227.25</v>
      </c>
      <c r="F29" s="19">
        <f>270.1-F28</f>
        <v>259.8</v>
      </c>
      <c r="G29" s="17">
        <f>C29/C28-1</f>
        <v>0.400171729975058</v>
      </c>
      <c r="H29" s="17">
        <f>(E29+F29-C29)/C29</f>
        <v>-0.857770704356968</v>
      </c>
      <c r="I29" s="17">
        <f>AVERAGE(H26:H29)</f>
        <v>-0.909021103102431</v>
      </c>
      <c r="J29" s="17"/>
      <c r="K29" s="17">
        <f>('Cashflow'!D29+'Cashflow'!F29-'Cashflow'!C29)/'Cashflow'!C29</f>
        <v>-0.486455155582672</v>
      </c>
      <c r="L29" s="19">
        <v>31255</v>
      </c>
      <c r="M29" s="17">
        <f>L29/L28-1</f>
        <v>0.231093429966914</v>
      </c>
    </row>
    <row r="30" ht="20.05" customHeight="1">
      <c r="B30" s="33"/>
      <c r="C30" s="18">
        <f>9699.2-SUM(C28:C29)</f>
        <v>3829.1</v>
      </c>
      <c r="D30" s="19">
        <v>3492.888</v>
      </c>
      <c r="E30" s="19">
        <v>227.25</v>
      </c>
      <c r="F30" s="19">
        <f>612-SUM(F28:F29)</f>
        <v>341.9</v>
      </c>
      <c r="G30" s="17">
        <f>C30/C29-1</f>
        <v>0.1181812872328</v>
      </c>
      <c r="H30" s="17">
        <f>(E30+F30-C30)/C30</f>
        <v>-0.851361938836802</v>
      </c>
      <c r="I30" s="17">
        <f>AVERAGE(H27:H30)</f>
        <v>-0.892966025582736</v>
      </c>
      <c r="J30" s="17"/>
      <c r="K30" s="17">
        <f>('Cashflow'!D30+'Cashflow'!F30-'Cashflow'!C30)/'Cashflow'!C30</f>
        <v>-0.875340659340659</v>
      </c>
      <c r="L30" s="19">
        <v>33921</v>
      </c>
      <c r="M30" s="17">
        <f>L30/L29-1</f>
        <v>0.0852983522636378</v>
      </c>
    </row>
    <row r="31" ht="20.05" customHeight="1">
      <c r="B31" s="33"/>
      <c r="C31" s="18">
        <f>14607-C30-C29-C28</f>
        <v>4907.8</v>
      </c>
      <c r="D31" s="19">
        <v>4403</v>
      </c>
      <c r="E31" s="19">
        <v>227.25</v>
      </c>
      <c r="F31" s="19">
        <f>1303-F30-F29-F28</f>
        <v>691</v>
      </c>
      <c r="G31" s="17">
        <f>C31/C30-1</f>
        <v>0.281711107048654</v>
      </c>
      <c r="H31" s="17">
        <f>(E31+F31-C31)/C31</f>
        <v>-0.812899873670484</v>
      </c>
      <c r="I31" s="17">
        <f>AVERAGE(H28:H31)</f>
        <v>-0.856225715183271</v>
      </c>
      <c r="J31" s="17">
        <f>I31</f>
        <v>-0.856225715183271</v>
      </c>
      <c r="K31" s="17">
        <f>('Cashflow'!D31+'Cashflow'!F31-'Cashflow'!C31)/'Cashflow'!C31</f>
        <v>-0.814891906930734</v>
      </c>
      <c r="L31" s="19">
        <v>38860</v>
      </c>
      <c r="M31" s="17">
        <f>L31/L30-1</f>
        <v>0.145603018778928</v>
      </c>
    </row>
    <row r="32" ht="20.05" customHeight="1">
      <c r="B32" s="35">
        <v>2022</v>
      </c>
      <c r="C32" s="18"/>
      <c r="D32" s="15">
        <f>'Model '!C6</f>
        <v>5398.58</v>
      </c>
      <c r="E32" s="19"/>
      <c r="F32" s="19"/>
      <c r="G32" s="13"/>
      <c r="H32" s="13"/>
      <c r="I32" s="23"/>
      <c r="J32" s="17">
        <f>'Model '!C7</f>
        <v>-0.812899873670484</v>
      </c>
      <c r="K32" s="13"/>
      <c r="L32" s="19">
        <v>44100</v>
      </c>
      <c r="M32" s="17">
        <f>L32/L31-1</f>
        <v>0.13484302624807</v>
      </c>
    </row>
    <row r="33" ht="20.05" customHeight="1">
      <c r="B33" s="33"/>
      <c r="C33" s="18"/>
      <c r="D33" s="19">
        <f>'Model '!D6</f>
        <v>5344.5942</v>
      </c>
      <c r="E33" s="19"/>
      <c r="F33" s="19"/>
      <c r="G33" s="13"/>
      <c r="H33" s="13"/>
      <c r="I33" s="13"/>
      <c r="J33" s="13"/>
      <c r="K33" s="13"/>
      <c r="L33" s="19"/>
      <c r="M33" s="19"/>
    </row>
    <row r="34" ht="20.05" customHeight="1">
      <c r="B34" s="33"/>
      <c r="C34" s="18"/>
      <c r="D34" s="19">
        <f>'Model '!E6</f>
        <v>5558.377968</v>
      </c>
      <c r="E34" s="19"/>
      <c r="F34" s="19"/>
      <c r="G34" s="13"/>
      <c r="H34" s="13"/>
      <c r="I34" s="13"/>
      <c r="J34" s="13"/>
      <c r="K34" s="13"/>
      <c r="L34" s="19"/>
      <c r="M34" s="19"/>
    </row>
    <row r="35" ht="20.05" customHeight="1">
      <c r="B35" s="33"/>
      <c r="C35" s="18"/>
      <c r="D35" s="19">
        <f>'Model '!F6</f>
        <v>5725.12930704</v>
      </c>
      <c r="E35" s="19"/>
      <c r="F35" s="19"/>
      <c r="G35" s="13"/>
      <c r="H35" s="13"/>
      <c r="I35" s="13"/>
      <c r="J35" s="13"/>
      <c r="K35" s="13"/>
      <c r="L35" s="19"/>
      <c r="M35" s="19"/>
    </row>
  </sheetData>
  <mergeCells count="1">
    <mergeCell ref="B2:M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.625" style="36" customWidth="1"/>
    <col min="2" max="2" width="7.77344" style="36" customWidth="1"/>
    <col min="3" max="3" width="9.64844" style="36" customWidth="1"/>
    <col min="4" max="4" width="9.95312" style="36" customWidth="1"/>
    <col min="5" max="5" width="10.2422" style="36" customWidth="1"/>
    <col min="6" max="7" width="9.95312" style="36" customWidth="1"/>
    <col min="8" max="10" width="9.53125" style="36" customWidth="1"/>
    <col min="11" max="11" width="8.75781" style="36" customWidth="1"/>
    <col min="12" max="15" width="9.74219" style="36" customWidth="1"/>
    <col min="16" max="16384" width="16.3516" style="36" customWidth="1"/>
  </cols>
  <sheetData>
    <row r="1" ht="21.6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6">
        <v>1</v>
      </c>
      <c r="C3" t="s" s="6">
        <v>47</v>
      </c>
      <c r="D3" t="s" s="6">
        <v>48</v>
      </c>
      <c r="E3" t="s" s="6">
        <v>49</v>
      </c>
      <c r="F3" t="s" s="6">
        <v>50</v>
      </c>
      <c r="G3" t="s" s="6">
        <v>51</v>
      </c>
      <c r="H3" t="s" s="6">
        <v>11</v>
      </c>
      <c r="I3" t="s" s="6">
        <v>25</v>
      </c>
      <c r="J3" t="s" s="6">
        <v>10</v>
      </c>
      <c r="K3" t="s" s="6">
        <v>52</v>
      </c>
      <c r="L3" t="s" s="6">
        <v>3</v>
      </c>
      <c r="M3" t="s" s="6">
        <v>34</v>
      </c>
      <c r="N3" t="s" s="6">
        <v>29</v>
      </c>
      <c r="O3" t="s" s="6">
        <v>34</v>
      </c>
    </row>
    <row r="4" ht="20.25" customHeight="1">
      <c r="B4" s="28">
        <v>2015</v>
      </c>
      <c r="C4" s="29">
        <v>2166</v>
      </c>
      <c r="D4" s="31">
        <v>510</v>
      </c>
      <c r="E4" s="31">
        <v>-118</v>
      </c>
      <c r="F4" s="31"/>
      <c r="G4" s="31"/>
      <c r="H4" s="31"/>
      <c r="I4" s="31"/>
      <c r="J4" s="31">
        <v>-305</v>
      </c>
      <c r="K4" s="31">
        <f>D4+E4</f>
        <v>392</v>
      </c>
      <c r="L4" s="31"/>
      <c r="M4" s="31"/>
      <c r="N4" s="31">
        <f>-(J4-G4-F4)</f>
        <v>305</v>
      </c>
      <c r="O4" s="31"/>
    </row>
    <row r="5" ht="20.05" customHeight="1">
      <c r="B5" s="33"/>
      <c r="C5" s="18">
        <v>2051</v>
      </c>
      <c r="D5" s="19">
        <v>-139</v>
      </c>
      <c r="E5" s="19">
        <v>-310</v>
      </c>
      <c r="F5" s="19"/>
      <c r="G5" s="19"/>
      <c r="H5" s="19"/>
      <c r="I5" s="19"/>
      <c r="J5" s="19">
        <v>260</v>
      </c>
      <c r="K5" s="19">
        <f>D5+E5</f>
        <v>-449</v>
      </c>
      <c r="L5" s="19"/>
      <c r="M5" s="19"/>
      <c r="N5" s="19">
        <f>-(J5-G5-F5)+N4</f>
        <v>45</v>
      </c>
      <c r="O5" s="19"/>
    </row>
    <row r="6" ht="20.05" customHeight="1">
      <c r="B6" s="33"/>
      <c r="C6" s="18">
        <v>1739</v>
      </c>
      <c r="D6" s="19">
        <v>231</v>
      </c>
      <c r="E6" s="19">
        <v>-103</v>
      </c>
      <c r="F6" s="19"/>
      <c r="G6" s="19"/>
      <c r="H6" s="19"/>
      <c r="I6" s="19"/>
      <c r="J6" s="19">
        <v>-138</v>
      </c>
      <c r="K6" s="19">
        <f>D6+E6</f>
        <v>128</v>
      </c>
      <c r="L6" s="19"/>
      <c r="M6" s="19"/>
      <c r="N6" s="19">
        <f>-(J6-G6-F6)+N5</f>
        <v>183</v>
      </c>
      <c r="O6" s="19"/>
    </row>
    <row r="7" ht="20.05" customHeight="1">
      <c r="B7" s="33"/>
      <c r="C7" s="18">
        <v>1862</v>
      </c>
      <c r="D7" s="19">
        <v>559</v>
      </c>
      <c r="E7" s="19">
        <v>-157</v>
      </c>
      <c r="F7" s="19"/>
      <c r="G7" s="19"/>
      <c r="H7" s="19"/>
      <c r="I7" s="19"/>
      <c r="J7" s="19">
        <v>-162</v>
      </c>
      <c r="K7" s="19">
        <f>D7+E7</f>
        <v>402</v>
      </c>
      <c r="L7" s="19"/>
      <c r="M7" s="19"/>
      <c r="N7" s="19">
        <f>-(J7-G7-F7)+N6</f>
        <v>345</v>
      </c>
      <c r="O7" s="19"/>
    </row>
    <row r="8" ht="20.05" customHeight="1">
      <c r="B8" s="35">
        <v>2016</v>
      </c>
      <c r="C8" s="18">
        <v>1405</v>
      </c>
      <c r="D8" s="19">
        <v>482</v>
      </c>
      <c r="E8" s="19">
        <v>-118</v>
      </c>
      <c r="F8" s="19"/>
      <c r="G8" s="19"/>
      <c r="H8" s="19"/>
      <c r="I8" s="19"/>
      <c r="J8" s="19">
        <v>-277</v>
      </c>
      <c r="K8" s="19">
        <f>D8+E8</f>
        <v>364</v>
      </c>
      <c r="L8" s="19">
        <f>AVERAGE(K5:K8)</f>
        <v>111.25</v>
      </c>
      <c r="M8" s="19"/>
      <c r="N8" s="19">
        <f>-(J8-G8-F8)+N7</f>
        <v>622</v>
      </c>
      <c r="O8" s="19"/>
    </row>
    <row r="9" ht="20.05" customHeight="1">
      <c r="B9" s="33"/>
      <c r="C9" s="18">
        <v>1357</v>
      </c>
      <c r="D9" s="19">
        <v>-33</v>
      </c>
      <c r="E9" s="19">
        <v>-148</v>
      </c>
      <c r="F9" s="19"/>
      <c r="G9" s="19"/>
      <c r="H9" s="19"/>
      <c r="I9" s="19"/>
      <c r="J9" s="19">
        <v>49</v>
      </c>
      <c r="K9" s="19">
        <f>D9+E9</f>
        <v>-181</v>
      </c>
      <c r="L9" s="19">
        <f>AVERAGE(K6:K9)</f>
        <v>178.25</v>
      </c>
      <c r="M9" s="19"/>
      <c r="N9" s="19">
        <f>-(J9-G9-F9)+N8</f>
        <v>573</v>
      </c>
      <c r="O9" s="19"/>
    </row>
    <row r="10" ht="20.05" customHeight="1">
      <c r="B10" s="33"/>
      <c r="C10" s="18">
        <v>1767</v>
      </c>
      <c r="D10" s="19">
        <v>613</v>
      </c>
      <c r="E10" s="19">
        <v>-222</v>
      </c>
      <c r="F10" s="19"/>
      <c r="G10" s="19"/>
      <c r="H10" s="19"/>
      <c r="I10" s="19"/>
      <c r="J10" s="19">
        <v>-356</v>
      </c>
      <c r="K10" s="19">
        <f>D10+E10</f>
        <v>391</v>
      </c>
      <c r="L10" s="19">
        <f>AVERAGE(K7:K10)</f>
        <v>244</v>
      </c>
      <c r="M10" s="19"/>
      <c r="N10" s="19">
        <f>-(J10-G10-F10)+N9</f>
        <v>929</v>
      </c>
      <c r="O10" s="19"/>
    </row>
    <row r="11" ht="20.05" customHeight="1">
      <c r="B11" s="33"/>
      <c r="C11" s="18">
        <v>2060</v>
      </c>
      <c r="D11" s="19">
        <v>-90</v>
      </c>
      <c r="E11" s="19">
        <v>-60</v>
      </c>
      <c r="F11" s="19"/>
      <c r="G11" s="19"/>
      <c r="H11" s="19"/>
      <c r="I11" s="19"/>
      <c r="J11" s="19">
        <v>234</v>
      </c>
      <c r="K11" s="19">
        <f>D11+E11</f>
        <v>-150</v>
      </c>
      <c r="L11" s="19">
        <f>AVERAGE(K8:K11)</f>
        <v>106</v>
      </c>
      <c r="M11" s="19"/>
      <c r="N11" s="19">
        <f>-(J11-G11-F11)+N10</f>
        <v>695</v>
      </c>
      <c r="O11" s="19"/>
    </row>
    <row r="12" ht="20.05" customHeight="1">
      <c r="B12" s="35">
        <v>2017</v>
      </c>
      <c r="C12" s="18">
        <v>2028</v>
      </c>
      <c r="D12" s="19">
        <v>-257</v>
      </c>
      <c r="E12" s="19">
        <v>-142</v>
      </c>
      <c r="F12" s="19"/>
      <c r="G12" s="19"/>
      <c r="H12" s="19"/>
      <c r="I12" s="19"/>
      <c r="J12" s="19">
        <v>143</v>
      </c>
      <c r="K12" s="19">
        <f>D12+E12</f>
        <v>-399</v>
      </c>
      <c r="L12" s="19">
        <f>AVERAGE(K9:K12)</f>
        <v>-84.75</v>
      </c>
      <c r="M12" s="19"/>
      <c r="N12" s="19">
        <f>-(J12-G12-F12)+N11</f>
        <v>552</v>
      </c>
      <c r="O12" s="19"/>
    </row>
    <row r="13" ht="20.05" customHeight="1">
      <c r="B13" s="33"/>
      <c r="C13" s="18">
        <v>2273</v>
      </c>
      <c r="D13" s="19">
        <v>-171</v>
      </c>
      <c r="E13" s="19">
        <v>-163</v>
      </c>
      <c r="F13" s="19"/>
      <c r="G13" s="19"/>
      <c r="H13" s="19"/>
      <c r="I13" s="19"/>
      <c r="J13" s="19">
        <v>488</v>
      </c>
      <c r="K13" s="19">
        <f>D13+E13</f>
        <v>-334</v>
      </c>
      <c r="L13" s="19">
        <f>AVERAGE(K10:K13)</f>
        <v>-123</v>
      </c>
      <c r="M13" s="19"/>
      <c r="N13" s="19">
        <f>-(J13-G13-F13)+N12</f>
        <v>64</v>
      </c>
      <c r="O13" s="19"/>
    </row>
    <row r="14" ht="20.05" customHeight="1">
      <c r="B14" s="33"/>
      <c r="C14" s="18">
        <v>2123</v>
      </c>
      <c r="D14" s="19">
        <v>118</v>
      </c>
      <c r="E14" s="19">
        <v>-235</v>
      </c>
      <c r="F14" s="19"/>
      <c r="G14" s="19"/>
      <c r="H14" s="19"/>
      <c r="I14" s="19"/>
      <c r="J14" s="19">
        <v>1294</v>
      </c>
      <c r="K14" s="19">
        <f>D14+E14</f>
        <v>-117</v>
      </c>
      <c r="L14" s="19">
        <f>AVERAGE(K11:K14)</f>
        <v>-250</v>
      </c>
      <c r="M14" s="19"/>
      <c r="N14" s="19">
        <f>-(J14-G14-F14)+N13</f>
        <v>-1230</v>
      </c>
      <c r="O14" s="19"/>
    </row>
    <row r="15" ht="20.05" customHeight="1">
      <c r="B15" s="33"/>
      <c r="C15" s="18">
        <v>2134</v>
      </c>
      <c r="D15" s="19">
        <v>-42</v>
      </c>
      <c r="E15" s="19">
        <v>-266</v>
      </c>
      <c r="F15" s="19"/>
      <c r="G15" s="19"/>
      <c r="H15" s="19"/>
      <c r="I15" s="19"/>
      <c r="J15" s="19">
        <v>33</v>
      </c>
      <c r="K15" s="19">
        <f>D15+E15</f>
        <v>-308</v>
      </c>
      <c r="L15" s="19">
        <f>AVERAGE(K12:K15)</f>
        <v>-289.5</v>
      </c>
      <c r="M15" s="19"/>
      <c r="N15" s="19">
        <f>-(J15-G15-F15)+N14</f>
        <v>-1263</v>
      </c>
      <c r="O15" s="19"/>
    </row>
    <row r="16" ht="20.05" customHeight="1">
      <c r="B16" s="35">
        <v>2018</v>
      </c>
      <c r="C16" s="18">
        <v>2667</v>
      </c>
      <c r="D16" s="19">
        <v>577</v>
      </c>
      <c r="E16" s="19">
        <v>-282</v>
      </c>
      <c r="F16" s="19"/>
      <c r="G16" s="19"/>
      <c r="H16" s="19"/>
      <c r="I16" s="19"/>
      <c r="J16" s="19">
        <v>-420</v>
      </c>
      <c r="K16" s="19">
        <f>D16+E16</f>
        <v>295</v>
      </c>
      <c r="L16" s="19">
        <f>AVERAGE(K13:K16)</f>
        <v>-116</v>
      </c>
      <c r="M16" s="19"/>
      <c r="N16" s="19">
        <f>-(J16-G16-F16)+N15</f>
        <v>-843</v>
      </c>
      <c r="O16" s="19"/>
    </row>
    <row r="17" ht="20.05" customHeight="1">
      <c r="B17" s="33"/>
      <c r="C17" s="18">
        <v>1952</v>
      </c>
      <c r="D17" s="19">
        <v>-936</v>
      </c>
      <c r="E17" s="19">
        <v>-219</v>
      </c>
      <c r="F17" s="19"/>
      <c r="G17" s="19"/>
      <c r="H17" s="19"/>
      <c r="I17" s="19"/>
      <c r="J17" s="19">
        <v>927</v>
      </c>
      <c r="K17" s="19">
        <f>D17+E17</f>
        <v>-1155</v>
      </c>
      <c r="L17" s="19">
        <f>AVERAGE(K14:K17)</f>
        <v>-321.25</v>
      </c>
      <c r="M17" s="19"/>
      <c r="N17" s="19">
        <f>-(J17-G17-F17)+N16</f>
        <v>-1770</v>
      </c>
      <c r="O17" s="19"/>
    </row>
    <row r="18" ht="20.05" customHeight="1">
      <c r="B18" s="33"/>
      <c r="C18" s="18">
        <v>2276</v>
      </c>
      <c r="D18" s="19">
        <v>-667</v>
      </c>
      <c r="E18" s="19">
        <v>-306</v>
      </c>
      <c r="F18" s="19"/>
      <c r="G18" s="19"/>
      <c r="H18" s="19"/>
      <c r="I18" s="19"/>
      <c r="J18" s="19">
        <v>732</v>
      </c>
      <c r="K18" s="19">
        <f>D18+E18</f>
        <v>-973</v>
      </c>
      <c r="L18" s="19">
        <f>AVERAGE(K15:K18)</f>
        <v>-535.25</v>
      </c>
      <c r="M18" s="19"/>
      <c r="N18" s="19">
        <f>-(J18-G18-F18)+N17</f>
        <v>-2502</v>
      </c>
      <c r="O18" s="19"/>
    </row>
    <row r="19" ht="20.05" customHeight="1">
      <c r="B19" s="33"/>
      <c r="C19" s="18">
        <v>3658</v>
      </c>
      <c r="D19" s="19">
        <v>-718</v>
      </c>
      <c r="E19" s="19">
        <v>-447</v>
      </c>
      <c r="F19" s="19"/>
      <c r="G19" s="19"/>
      <c r="H19" s="19"/>
      <c r="I19" s="19"/>
      <c r="J19" s="19">
        <v>1165</v>
      </c>
      <c r="K19" s="19">
        <f>D19+E19</f>
        <v>-1165</v>
      </c>
      <c r="L19" s="19">
        <f>AVERAGE(K16:K19)</f>
        <v>-749.5</v>
      </c>
      <c r="M19" s="19"/>
      <c r="N19" s="19">
        <f>-(J19-G19-F19)+N18</f>
        <v>-3667</v>
      </c>
      <c r="O19" s="19"/>
    </row>
    <row r="20" ht="20.05" customHeight="1">
      <c r="B20" s="35">
        <v>2019</v>
      </c>
      <c r="C20" s="18">
        <v>4057</v>
      </c>
      <c r="D20" s="19">
        <v>-1751</v>
      </c>
      <c r="E20" s="19">
        <v>-405</v>
      </c>
      <c r="F20" s="19"/>
      <c r="G20" s="19"/>
      <c r="H20" s="19"/>
      <c r="I20" s="19"/>
      <c r="J20" s="19">
        <v>1966.3</v>
      </c>
      <c r="K20" s="19">
        <f>D20+E20</f>
        <v>-2156</v>
      </c>
      <c r="L20" s="19">
        <f>AVERAGE(K17:K20)</f>
        <v>-1362.25</v>
      </c>
      <c r="M20" s="19"/>
      <c r="N20" s="19">
        <f>-(J20-G20-F20)+N19</f>
        <v>-5633.3</v>
      </c>
      <c r="O20" s="19"/>
    </row>
    <row r="21" ht="20.05" customHeight="1">
      <c r="B21" s="33"/>
      <c r="C21" s="18">
        <v>4959</v>
      </c>
      <c r="D21" s="19">
        <v>-1773</v>
      </c>
      <c r="E21" s="19">
        <v>-393</v>
      </c>
      <c r="F21" s="19"/>
      <c r="G21" s="19"/>
      <c r="H21" s="19"/>
      <c r="I21" s="19"/>
      <c r="J21" s="19">
        <v>2248.7</v>
      </c>
      <c r="K21" s="19">
        <f>D21+E21</f>
        <v>-2166</v>
      </c>
      <c r="L21" s="19">
        <f>AVERAGE(K18:K21)</f>
        <v>-1615</v>
      </c>
      <c r="M21" s="19"/>
      <c r="N21" s="19">
        <f>-(J21-G21-F21)+N20</f>
        <v>-7882</v>
      </c>
      <c r="O21" s="19"/>
    </row>
    <row r="22" ht="20.05" customHeight="1">
      <c r="B22" s="33"/>
      <c r="C22" s="18">
        <v>5493</v>
      </c>
      <c r="D22" s="19">
        <v>39</v>
      </c>
      <c r="E22" s="19">
        <v>-207</v>
      </c>
      <c r="F22" s="19"/>
      <c r="G22" s="19"/>
      <c r="H22" s="19"/>
      <c r="I22" s="19"/>
      <c r="J22" s="19">
        <v>917</v>
      </c>
      <c r="K22" s="19">
        <f>D22+E22</f>
        <v>-168</v>
      </c>
      <c r="L22" s="19">
        <f>AVERAGE(K19:K22)</f>
        <v>-1413.75</v>
      </c>
      <c r="M22" s="19"/>
      <c r="N22" s="19">
        <f>-(J22-G22-F22)+N21</f>
        <v>-8799</v>
      </c>
      <c r="O22" s="19"/>
    </row>
    <row r="23" ht="20.05" customHeight="1">
      <c r="B23" s="33"/>
      <c r="C23" s="18">
        <v>5037.5</v>
      </c>
      <c r="D23" s="19">
        <v>623</v>
      </c>
      <c r="E23" s="19">
        <v>-502</v>
      </c>
      <c r="F23" s="19"/>
      <c r="G23" s="19"/>
      <c r="H23" s="19"/>
      <c r="I23" s="19"/>
      <c r="J23" s="19">
        <v>86.90000000000001</v>
      </c>
      <c r="K23" s="19">
        <f>D23+E23</f>
        <v>121</v>
      </c>
      <c r="L23" s="19">
        <f>AVERAGE(K20:K23)</f>
        <v>-1092.25</v>
      </c>
      <c r="M23" s="19"/>
      <c r="N23" s="19">
        <f>-(J23-G23-F23)+N22</f>
        <v>-8885.9</v>
      </c>
      <c r="O23" s="19"/>
    </row>
    <row r="24" ht="20.05" customHeight="1">
      <c r="B24" s="35">
        <v>2020</v>
      </c>
      <c r="C24" s="18">
        <v>4797.5</v>
      </c>
      <c r="D24" s="19">
        <v>1135.9</v>
      </c>
      <c r="E24" s="19">
        <v>-244</v>
      </c>
      <c r="F24" s="19"/>
      <c r="G24" s="19"/>
      <c r="H24" s="19"/>
      <c r="I24" s="19"/>
      <c r="J24" s="19">
        <v>-1621</v>
      </c>
      <c r="K24" s="19">
        <f>D24+E24</f>
        <v>891.9</v>
      </c>
      <c r="L24" s="19">
        <f>AVERAGE(K21:K24)</f>
        <v>-330.275</v>
      </c>
      <c r="M24" s="19"/>
      <c r="N24" s="19">
        <f>-(J24-G24-F24)+N23</f>
        <v>-7264.9</v>
      </c>
      <c r="O24" s="19"/>
    </row>
    <row r="25" ht="20.05" customHeight="1">
      <c r="B25" s="33"/>
      <c r="C25" s="18">
        <v>3441</v>
      </c>
      <c r="D25" s="19">
        <v>1671</v>
      </c>
      <c r="E25" s="19">
        <v>-378</v>
      </c>
      <c r="F25" s="19"/>
      <c r="G25" s="19"/>
      <c r="H25" s="19"/>
      <c r="I25" s="19"/>
      <c r="J25" s="19">
        <v>-1170</v>
      </c>
      <c r="K25" s="19">
        <f>D25+E25</f>
        <v>1293</v>
      </c>
      <c r="L25" s="19">
        <f>AVERAGE(K22:K25)</f>
        <v>534.475</v>
      </c>
      <c r="M25" s="19"/>
      <c r="N25" s="19">
        <f>-(J25-G25-F25)+N24</f>
        <v>-6094.9</v>
      </c>
      <c r="O25" s="19"/>
    </row>
    <row r="26" ht="20.05" customHeight="1">
      <c r="B26" s="33"/>
      <c r="C26" s="18">
        <v>3811.4</v>
      </c>
      <c r="D26" s="19">
        <v>1526.3</v>
      </c>
      <c r="E26" s="19">
        <v>-241.9</v>
      </c>
      <c r="F26" s="19"/>
      <c r="G26" s="19"/>
      <c r="H26" s="19"/>
      <c r="I26" s="19"/>
      <c r="J26" s="19">
        <v>-1487</v>
      </c>
      <c r="K26" s="19">
        <f>D26+E26</f>
        <v>1284.4</v>
      </c>
      <c r="L26" s="19">
        <f>AVERAGE(K23:K26)</f>
        <v>897.575</v>
      </c>
      <c r="M26" s="19"/>
      <c r="N26" s="19">
        <f>-(J26-G26-F26)+N25</f>
        <v>-4607.9</v>
      </c>
      <c r="O26" s="19"/>
    </row>
    <row r="27" ht="20.05" customHeight="1">
      <c r="B27" s="33"/>
      <c r="C27" s="18">
        <v>3372.6</v>
      </c>
      <c r="D27" s="19">
        <v>557</v>
      </c>
      <c r="E27" s="19">
        <v>-314</v>
      </c>
      <c r="F27" s="19">
        <v>-115</v>
      </c>
      <c r="G27" s="19">
        <v>-3.75</v>
      </c>
      <c r="H27" s="19"/>
      <c r="I27" s="19"/>
      <c r="J27" s="19">
        <v>-232</v>
      </c>
      <c r="K27" s="19">
        <f>F27+G27+D27+E27</f>
        <v>124.25</v>
      </c>
      <c r="L27" s="19">
        <f>AVERAGE(K24:K27)</f>
        <v>898.3875</v>
      </c>
      <c r="M27" s="19"/>
      <c r="N27" s="19">
        <f>-(J27-G27-F27)+N26</f>
        <v>-4494.65</v>
      </c>
      <c r="O27" s="19"/>
    </row>
    <row r="28" ht="20.05" customHeight="1">
      <c r="B28" s="35">
        <v>2021</v>
      </c>
      <c r="C28" s="18">
        <v>2683</v>
      </c>
      <c r="D28" s="19">
        <v>972.9</v>
      </c>
      <c r="E28" s="19">
        <v>-147</v>
      </c>
      <c r="F28" s="19">
        <v>-98.56</v>
      </c>
      <c r="G28" s="19">
        <v>-4.5</v>
      </c>
      <c r="H28" s="19">
        <f>-923.5-G28</f>
        <v>-919</v>
      </c>
      <c r="I28" s="19"/>
      <c r="J28" s="19">
        <v>-923.5</v>
      </c>
      <c r="K28" s="19">
        <f>F28+G28+D28+E28</f>
        <v>722.84</v>
      </c>
      <c r="L28" s="19">
        <f>AVERAGE(K25:K28)</f>
        <v>856.1224999999999</v>
      </c>
      <c r="M28" s="19"/>
      <c r="N28" s="19">
        <f>-(J28-G28-F28)+N27</f>
        <v>-3674.21</v>
      </c>
      <c r="O28" s="19"/>
    </row>
    <row r="29" ht="20.05" customHeight="1">
      <c r="B29" s="33"/>
      <c r="C29" s="18">
        <f>5633.2-C28</f>
        <v>2950.2</v>
      </c>
      <c r="D29" s="19">
        <f>2584.2-D28</f>
        <v>1611.3</v>
      </c>
      <c r="E29" s="19">
        <f>-305.3-E28</f>
        <v>-158.3</v>
      </c>
      <c r="F29" s="19">
        <f>-194.8-F28</f>
        <v>-96.23999999999999</v>
      </c>
      <c r="G29" s="19">
        <f>-19-G28</f>
        <v>-14.5</v>
      </c>
      <c r="H29" s="19">
        <f>-1804.9-H28-G29-G28-F29-F28</f>
        <v>-672.1</v>
      </c>
      <c r="I29" s="19"/>
      <c r="J29" s="19">
        <f>-1804.9-J28</f>
        <v>-881.4</v>
      </c>
      <c r="K29" s="19">
        <f>F29+G29+D29+E29</f>
        <v>1342.26</v>
      </c>
      <c r="L29" s="19">
        <f>AVERAGE(K26:K29)</f>
        <v>868.4375</v>
      </c>
      <c r="M29" s="19"/>
      <c r="N29" s="19">
        <f>-(J29-G29-F29)+N28</f>
        <v>-2903.55</v>
      </c>
      <c r="O29" s="19"/>
    </row>
    <row r="30" ht="20.05" customHeight="1">
      <c r="B30" s="33"/>
      <c r="C30" s="18">
        <f>9045.7-SUM(C28:C29)</f>
        <v>3412.5</v>
      </c>
      <c r="D30" s="19">
        <f>3087.6-SUM(D28:D29)</f>
        <v>503.4</v>
      </c>
      <c r="E30" s="19">
        <f>-502.5-SUM(E28:E29)</f>
        <v>-197.2</v>
      </c>
      <c r="F30" s="19">
        <f>-272.8-SUM(F28:F29)</f>
        <v>-78</v>
      </c>
      <c r="G30" s="19">
        <f>-19-SUM(G28:G29)</f>
        <v>0</v>
      </c>
      <c r="H30" s="19">
        <f>-2297-H29-H28-G30-G29-G28-F30-F29-F28</f>
        <v>-414.1</v>
      </c>
      <c r="I30" s="19"/>
      <c r="J30" s="19">
        <f>-2297.1-SUM(J28:J29)</f>
        <v>-492.2</v>
      </c>
      <c r="K30" s="19">
        <f>F30+G30+D30+E30</f>
        <v>228.2</v>
      </c>
      <c r="L30" s="19">
        <f>AVERAGE(K27:K30)</f>
        <v>604.3875</v>
      </c>
      <c r="M30" s="19"/>
      <c r="N30" s="19">
        <f>-(J30-G30-F30)+N29</f>
        <v>-2489.35</v>
      </c>
      <c r="O30" s="19"/>
    </row>
    <row r="31" ht="20.05" customHeight="1">
      <c r="B31" s="33"/>
      <c r="C31" s="18">
        <f>13898-C30-C29-C28</f>
        <v>4852.3</v>
      </c>
      <c r="D31" s="19">
        <f>4039-D30-D29-D28</f>
        <v>951.4</v>
      </c>
      <c r="E31" s="19">
        <f>-773-E30-E29-E28</f>
        <v>-270.5</v>
      </c>
      <c r="F31" s="19">
        <f>-326-F30-F29-F28</f>
        <v>-53.2</v>
      </c>
      <c r="G31" s="19">
        <f>-14.9-G30-G29-G28</f>
        <v>4.1</v>
      </c>
      <c r="H31" s="19">
        <f>-2212-H30-H29-H28</f>
        <v>-206.8</v>
      </c>
      <c r="I31" s="19"/>
      <c r="J31" s="19">
        <f>-2296-SUM(J29:J30)</f>
        <v>-922.4</v>
      </c>
      <c r="K31" s="19">
        <f>F31+G31+D31+E31</f>
        <v>631.8</v>
      </c>
      <c r="L31" s="19">
        <f>AVERAGE(K28:K31)</f>
        <v>731.275</v>
      </c>
      <c r="M31" s="19">
        <f>L31</f>
        <v>731.275</v>
      </c>
      <c r="N31" s="19">
        <f>-(J31-G31-F31)+N30</f>
        <v>-1616.05</v>
      </c>
      <c r="O31" s="19">
        <f>N31</f>
        <v>-1616.05</v>
      </c>
    </row>
    <row r="32" ht="20.05" customHeight="1">
      <c r="B32" s="35">
        <v>2022</v>
      </c>
      <c r="C32" s="18"/>
      <c r="D32" s="19"/>
      <c r="E32" s="19"/>
      <c r="F32" s="19"/>
      <c r="G32" s="19"/>
      <c r="H32" s="19"/>
      <c r="I32" s="19"/>
      <c r="J32" s="19"/>
      <c r="K32" s="19"/>
      <c r="L32" s="23"/>
      <c r="M32" s="19">
        <f>SUM('Model '!F9:F10)</f>
        <v>877.9224166</v>
      </c>
      <c r="N32" s="23"/>
      <c r="O32" s="19">
        <f>'Model '!F32</f>
        <v>260.16359491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2:K2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7.28125" style="37" customWidth="1"/>
    <col min="2" max="5" width="10.6484" style="37" customWidth="1"/>
    <col min="6" max="6" hidden="1" width="16.3333" style="37" customWidth="1"/>
    <col min="7" max="11" width="10.6484" style="37" customWidth="1"/>
    <col min="12" max="16384" width="16.3516" style="37" customWidth="1"/>
  </cols>
  <sheetData>
    <row r="1" ht="27.65" customHeight="1">
      <c r="A1" t="s" s="2">
        <v>21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2.25" customHeight="1">
      <c r="A2" t="s" s="6">
        <v>1</v>
      </c>
      <c r="B2" t="s" s="6">
        <v>53</v>
      </c>
      <c r="C2" t="s" s="6">
        <v>54</v>
      </c>
      <c r="D2" t="s" s="6">
        <v>22</v>
      </c>
      <c r="E2" t="s" s="6">
        <v>23</v>
      </c>
      <c r="F2" t="s" s="26">
        <v>55</v>
      </c>
      <c r="G2" t="s" s="6">
        <v>11</v>
      </c>
      <c r="H2" t="s" s="6">
        <v>25</v>
      </c>
      <c r="I2" t="s" s="6">
        <v>56</v>
      </c>
      <c r="J2" t="s" s="6">
        <v>27</v>
      </c>
      <c r="K2" t="s" s="6">
        <v>34</v>
      </c>
    </row>
    <row r="3" ht="20.25" customHeight="1">
      <c r="A3" s="28">
        <v>2016</v>
      </c>
      <c r="B3" s="29">
        <v>577</v>
      </c>
      <c r="C3" s="31">
        <v>8761</v>
      </c>
      <c r="D3" s="31">
        <f>C3-B3</f>
        <v>8184</v>
      </c>
      <c r="E3" s="31">
        <v>3785</v>
      </c>
      <c r="F3" s="38">
        <f>B3+D3+#REF!</f>
      </c>
      <c r="G3" s="31">
        <v>3586</v>
      </c>
      <c r="H3" s="31">
        <v>5175</v>
      </c>
      <c r="I3" s="31">
        <f>G3+H3-B3-D3</f>
        <v>0</v>
      </c>
      <c r="J3" s="31">
        <f>B3-G3</f>
        <v>-3009</v>
      </c>
      <c r="K3" s="31"/>
    </row>
    <row r="4" ht="20.05" customHeight="1">
      <c r="A4" s="33"/>
      <c r="B4" s="18">
        <v>444</v>
      </c>
      <c r="C4" s="19">
        <v>9028</v>
      </c>
      <c r="D4" s="19">
        <f>C4-B4</f>
        <v>8584</v>
      </c>
      <c r="E4" s="19">
        <v>3906</v>
      </c>
      <c r="F4" s="15">
        <f>B4+D4+#REF!</f>
      </c>
      <c r="G4" s="19">
        <v>3843</v>
      </c>
      <c r="H4" s="19">
        <v>5185</v>
      </c>
      <c r="I4" s="19">
        <f>G4+H4-B4-D4</f>
        <v>0</v>
      </c>
      <c r="J4" s="19">
        <f>B4-G4</f>
        <v>-3399</v>
      </c>
      <c r="K4" s="19"/>
    </row>
    <row r="5" ht="20.05" customHeight="1">
      <c r="A5" s="33"/>
      <c r="B5" s="18">
        <v>475</v>
      </c>
      <c r="C5" s="19">
        <v>9242</v>
      </c>
      <c r="D5" s="19">
        <f>C5-B5</f>
        <v>8767</v>
      </c>
      <c r="E5" s="19">
        <v>4016</v>
      </c>
      <c r="F5" s="15">
        <f>B5+D5+#REF!</f>
      </c>
      <c r="G5" s="19">
        <v>3978</v>
      </c>
      <c r="H5" s="19">
        <v>5264</v>
      </c>
      <c r="I5" s="19">
        <f>G5+H5-B5-D5</f>
        <v>0</v>
      </c>
      <c r="J5" s="19">
        <f>B5-G5</f>
        <v>-3503</v>
      </c>
      <c r="K5" s="19"/>
    </row>
    <row r="6" ht="20.05" customHeight="1">
      <c r="A6" s="33"/>
      <c r="B6" s="18">
        <v>564</v>
      </c>
      <c r="C6" s="19">
        <v>9549</v>
      </c>
      <c r="D6" s="19">
        <f>C6-B6</f>
        <v>8985</v>
      </c>
      <c r="E6" s="19">
        <v>4142</v>
      </c>
      <c r="F6" s="15">
        <f>B6+D6+#REF!</f>
      </c>
      <c r="G6" s="19">
        <v>3895</v>
      </c>
      <c r="H6" s="19">
        <v>5654</v>
      </c>
      <c r="I6" s="19">
        <f>G6+H6-B6-D6</f>
        <v>0</v>
      </c>
      <c r="J6" s="19">
        <f>B6-G6</f>
        <v>-3331</v>
      </c>
      <c r="K6" s="19"/>
    </row>
    <row r="7" ht="20.05" customHeight="1">
      <c r="A7" s="35">
        <v>2017</v>
      </c>
      <c r="B7" s="18">
        <v>303</v>
      </c>
      <c r="C7" s="19">
        <v>10009</v>
      </c>
      <c r="D7" s="19">
        <f>C7-B7</f>
        <v>9706</v>
      </c>
      <c r="E7" s="19">
        <v>4257</v>
      </c>
      <c r="F7" s="15">
        <f>B7+D7+#REF!</f>
      </c>
      <c r="G7" s="19">
        <v>4324</v>
      </c>
      <c r="H7" s="19">
        <v>5685</v>
      </c>
      <c r="I7" s="19">
        <f>G7+H7-B7-D7</f>
        <v>0</v>
      </c>
      <c r="J7" s="19">
        <f>B7-G7</f>
        <v>-4021</v>
      </c>
      <c r="K7" s="19"/>
    </row>
    <row r="8" ht="20.05" customHeight="1">
      <c r="A8" s="33"/>
      <c r="B8" s="18">
        <v>455</v>
      </c>
      <c r="C8" s="19">
        <v>10141</v>
      </c>
      <c r="D8" s="19">
        <f>C8-B8</f>
        <v>9686</v>
      </c>
      <c r="E8" s="19">
        <v>4370</v>
      </c>
      <c r="F8" s="15">
        <f>B8+D8+#REF!</f>
      </c>
      <c r="G8" s="19">
        <v>4457</v>
      </c>
      <c r="H8" s="19">
        <v>5684</v>
      </c>
      <c r="I8" s="19">
        <f>G8+H8-B8-D8</f>
        <v>0</v>
      </c>
      <c r="J8" s="19">
        <f>B8-G8</f>
        <v>-4002</v>
      </c>
      <c r="K8" s="19"/>
    </row>
    <row r="9" ht="20.05" customHeight="1">
      <c r="A9" s="33"/>
      <c r="B9" s="18">
        <v>1641</v>
      </c>
      <c r="C9" s="19">
        <v>11639</v>
      </c>
      <c r="D9" s="19">
        <f>C9-B9</f>
        <v>9998</v>
      </c>
      <c r="E9" s="19">
        <v>4398</v>
      </c>
      <c r="F9" s="15">
        <f>B9+D9+#REF!</f>
      </c>
      <c r="G9" s="19">
        <v>5751</v>
      </c>
      <c r="H9" s="19">
        <v>5888</v>
      </c>
      <c r="I9" s="19">
        <f>G9+H9-B9-D9</f>
        <v>0</v>
      </c>
      <c r="J9" s="19">
        <f>B9-G9</f>
        <v>-4110</v>
      </c>
      <c r="K9" s="19"/>
    </row>
    <row r="10" ht="20.05" customHeight="1">
      <c r="A10" s="33"/>
      <c r="B10" s="18">
        <v>1357</v>
      </c>
      <c r="C10" s="19">
        <v>11876</v>
      </c>
      <c r="D10" s="19">
        <f>C10-B10</f>
        <v>10519</v>
      </c>
      <c r="E10" s="19">
        <v>4341</v>
      </c>
      <c r="F10" s="15">
        <f>B10+D10+#REF!</f>
      </c>
      <c r="G10" s="19">
        <v>5815</v>
      </c>
      <c r="H10" s="19">
        <v>6061</v>
      </c>
      <c r="I10" s="19">
        <f>G10+H10-B10-D10</f>
        <v>0</v>
      </c>
      <c r="J10" s="19">
        <f>B10-G10</f>
        <v>-4458</v>
      </c>
      <c r="K10" s="19"/>
    </row>
    <row r="11" ht="20.05" customHeight="1">
      <c r="A11" s="35">
        <v>2018</v>
      </c>
      <c r="B11" s="18">
        <v>1234</v>
      </c>
      <c r="C11" s="19">
        <v>11478</v>
      </c>
      <c r="D11" s="19">
        <f>C11-B11</f>
        <v>10244</v>
      </c>
      <c r="E11" s="19">
        <v>4471</v>
      </c>
      <c r="F11" s="15">
        <f>B11+D11+#REF!</f>
      </c>
      <c r="G11" s="19">
        <v>5366</v>
      </c>
      <c r="H11" s="19">
        <v>6112</v>
      </c>
      <c r="I11" s="19">
        <f>G11+H11-B11-D11</f>
        <v>0</v>
      </c>
      <c r="J11" s="19">
        <f>B11-G11</f>
        <v>-4132</v>
      </c>
      <c r="K11" s="19"/>
    </row>
    <row r="12" ht="20.05" customHeight="1">
      <c r="A12" s="33"/>
      <c r="B12" s="18">
        <v>1020</v>
      </c>
      <c r="C12" s="19">
        <v>12460</v>
      </c>
      <c r="D12" s="19">
        <f>C12-B12</f>
        <v>11440</v>
      </c>
      <c r="E12" s="19">
        <v>4610</v>
      </c>
      <c r="F12" s="15">
        <f>B12+D12+#REF!</f>
      </c>
      <c r="G12" s="19">
        <v>6335</v>
      </c>
      <c r="H12" s="19">
        <v>6125</v>
      </c>
      <c r="I12" s="19">
        <f>G12+H12-B12-D12</f>
        <v>0</v>
      </c>
      <c r="J12" s="19">
        <f>B12-G12</f>
        <v>-5315</v>
      </c>
      <c r="K12" s="19"/>
    </row>
    <row r="13" ht="20.05" customHeight="1">
      <c r="A13" s="33"/>
      <c r="B13" s="18">
        <v>779</v>
      </c>
      <c r="C13" s="19">
        <v>13550</v>
      </c>
      <c r="D13" s="19">
        <f>C13-B13</f>
        <v>12771</v>
      </c>
      <c r="E13" s="19">
        <v>4739</v>
      </c>
      <c r="F13" s="15">
        <f>B13+D13+#REF!</f>
      </c>
      <c r="G13" s="19">
        <v>7257</v>
      </c>
      <c r="H13" s="19">
        <v>6293</v>
      </c>
      <c r="I13" s="19">
        <f>G13+H13-B13-D13</f>
        <v>0</v>
      </c>
      <c r="J13" s="19">
        <f>B13-G13</f>
        <v>-6478</v>
      </c>
      <c r="K13" s="19"/>
    </row>
    <row r="14" ht="20.05" customHeight="1">
      <c r="A14" s="33"/>
      <c r="B14" s="18">
        <v>784.6</v>
      </c>
      <c r="C14" s="19">
        <v>15220.7</v>
      </c>
      <c r="D14" s="19">
        <f>C14-B14</f>
        <v>14436.1</v>
      </c>
      <c r="E14" s="19">
        <f>4873+292</f>
        <v>5165</v>
      </c>
      <c r="F14" s="15">
        <f>B14+D14+#REF!</f>
      </c>
      <c r="G14" s="19">
        <v>9072</v>
      </c>
      <c r="H14" s="19">
        <v>6148</v>
      </c>
      <c r="I14" s="19">
        <f>G14+H14-B14-D14</f>
        <v>-0.7</v>
      </c>
      <c r="J14" s="19">
        <f>B14-G14</f>
        <v>-8287.4</v>
      </c>
      <c r="K14" s="19"/>
    </row>
    <row r="15" ht="20.05" customHeight="1">
      <c r="A15" s="35">
        <v>2019</v>
      </c>
      <c r="B15" s="18">
        <v>595.4</v>
      </c>
      <c r="C15" s="19">
        <v>17930</v>
      </c>
      <c r="D15" s="19">
        <f>C15-B15</f>
        <v>17334.6</v>
      </c>
      <c r="E15" s="19">
        <v>5030</v>
      </c>
      <c r="F15" s="15">
        <f>B15+D15+#REF!</f>
      </c>
      <c r="G15" s="19">
        <v>11019.7</v>
      </c>
      <c r="H15" s="19">
        <v>6910.3</v>
      </c>
      <c r="I15" s="19">
        <f>G15+H15-B15-D15</f>
        <v>0</v>
      </c>
      <c r="J15" s="19">
        <f>B15-G15</f>
        <v>-10424.3</v>
      </c>
      <c r="K15" s="19"/>
    </row>
    <row r="16" ht="20.05" customHeight="1">
      <c r="A16" s="33"/>
      <c r="B16" s="18">
        <v>609</v>
      </c>
      <c r="C16" s="19">
        <v>20651</v>
      </c>
      <c r="D16" s="19">
        <f>C16-B16</f>
        <v>20042</v>
      </c>
      <c r="E16" s="19">
        <v>5213</v>
      </c>
      <c r="F16" s="15">
        <f>B16+D16+#REF!</f>
      </c>
      <c r="G16" s="19">
        <v>14186</v>
      </c>
      <c r="H16" s="19">
        <v>6464</v>
      </c>
      <c r="I16" s="19">
        <f>G16+H16-B16-D16</f>
        <v>-1</v>
      </c>
      <c r="J16" s="19">
        <f>B16-G16</f>
        <v>-13577</v>
      </c>
      <c r="K16" s="19"/>
    </row>
    <row r="17" ht="20.05" customHeight="1">
      <c r="A17" s="33"/>
      <c r="B17" s="18">
        <v>1424</v>
      </c>
      <c r="C17" s="19">
        <v>20771</v>
      </c>
      <c r="D17" s="19">
        <f>C17-B17</f>
        <v>19347</v>
      </c>
      <c r="E17" s="19">
        <v>5422</v>
      </c>
      <c r="F17" s="15">
        <f>B17+D17+#REF!</f>
      </c>
      <c r="G17" s="19">
        <v>14707</v>
      </c>
      <c r="H17" s="19">
        <v>6064</v>
      </c>
      <c r="I17" s="19">
        <f>G17+H17-B17-D17</f>
        <v>0</v>
      </c>
      <c r="J17" s="19">
        <f>B17-G17</f>
        <v>-13283</v>
      </c>
      <c r="K17" s="19"/>
    </row>
    <row r="18" ht="20.05" customHeight="1">
      <c r="A18" s="33"/>
      <c r="B18" s="18">
        <v>1599.4</v>
      </c>
      <c r="C18" s="19">
        <v>20361.2</v>
      </c>
      <c r="D18" s="19">
        <f>C18-B18</f>
        <v>18761.8</v>
      </c>
      <c r="E18" s="19">
        <f>5536+321</f>
        <v>5857</v>
      </c>
      <c r="F18" s="15">
        <f>B18+D18+#REF!</f>
      </c>
      <c r="G18" s="19">
        <v>15103</v>
      </c>
      <c r="H18" s="19">
        <v>5258</v>
      </c>
      <c r="I18" s="19">
        <f>G18+H18-B18-D18</f>
        <v>-0.2</v>
      </c>
      <c r="J18" s="19">
        <f>B18-G18</f>
        <v>-13503.6</v>
      </c>
      <c r="K18" s="19"/>
    </row>
    <row r="19" ht="20.05" customHeight="1">
      <c r="A19" s="35">
        <v>2020</v>
      </c>
      <c r="B19" s="18">
        <v>934</v>
      </c>
      <c r="C19" s="19">
        <v>18769</v>
      </c>
      <c r="D19" s="19">
        <f>C19-B19</f>
        <v>17835</v>
      </c>
      <c r="E19" s="19">
        <f>5734+325</f>
        <v>6059</v>
      </c>
      <c r="F19" s="15">
        <f>B19+D19+#REF!</f>
      </c>
      <c r="G19" s="19">
        <v>13947</v>
      </c>
      <c r="H19" s="19">
        <v>4822</v>
      </c>
      <c r="I19" s="19">
        <f>G19+H19-B19-D19</f>
        <v>0</v>
      </c>
      <c r="J19" s="19">
        <f>B19-G19</f>
        <v>-13013</v>
      </c>
      <c r="K19" s="19"/>
    </row>
    <row r="20" ht="20.05" customHeight="1">
      <c r="A20" s="33"/>
      <c r="B20" s="18">
        <v>1002</v>
      </c>
      <c r="C20" s="19">
        <v>18396</v>
      </c>
      <c r="D20" s="19">
        <f>C20-B20</f>
        <v>17394</v>
      </c>
      <c r="E20" s="19">
        <v>5925</v>
      </c>
      <c r="F20" s="15">
        <f>B20+D20+#REF!</f>
      </c>
      <c r="G20" s="19">
        <v>13582</v>
      </c>
      <c r="H20" s="19">
        <v>4815</v>
      </c>
      <c r="I20" s="19">
        <f>G20+H20-B20-D20</f>
        <v>1</v>
      </c>
      <c r="J20" s="19">
        <f>B20-G20</f>
        <v>-12580</v>
      </c>
      <c r="K20" s="19"/>
    </row>
    <row r="21" ht="20.05" customHeight="1">
      <c r="A21" s="33"/>
      <c r="B21" s="18">
        <v>808</v>
      </c>
      <c r="C21" s="19">
        <v>16752</v>
      </c>
      <c r="D21" s="19">
        <f>C21-B21</f>
        <v>15944</v>
      </c>
      <c r="E21" s="19">
        <f>6058+334</f>
        <v>6392</v>
      </c>
      <c r="F21" s="15">
        <f>B21+D21+#REF!</f>
      </c>
      <c r="G21" s="19">
        <v>11823</v>
      </c>
      <c r="H21" s="19">
        <v>4929</v>
      </c>
      <c r="I21" s="19">
        <f>G21+H21-B21-D21</f>
        <v>0</v>
      </c>
      <c r="J21" s="19">
        <f>B21-G21</f>
        <v>-11015</v>
      </c>
      <c r="K21" s="19"/>
    </row>
    <row r="22" ht="20.05" customHeight="1">
      <c r="A22" s="33"/>
      <c r="B22" s="18">
        <v>807</v>
      </c>
      <c r="C22" s="19">
        <v>14518</v>
      </c>
      <c r="D22" s="19">
        <f>C22-B22</f>
        <v>13711</v>
      </c>
      <c r="E22" s="19">
        <f>E21+'Sales'!E27</f>
        <v>6611.9</v>
      </c>
      <c r="F22" s="15">
        <f>B22+D22+#REF!</f>
      </c>
      <c r="G22" s="19">
        <v>9578</v>
      </c>
      <c r="H22" s="19">
        <v>4940</v>
      </c>
      <c r="I22" s="19">
        <f>G22+H22-B22-D22</f>
        <v>0</v>
      </c>
      <c r="J22" s="19">
        <f>B22-G22</f>
        <v>-8771</v>
      </c>
      <c r="K22" s="19"/>
    </row>
    <row r="23" ht="20.05" customHeight="1">
      <c r="A23" s="35">
        <v>2021</v>
      </c>
      <c r="B23" s="18">
        <v>715</v>
      </c>
      <c r="C23" s="19">
        <v>13635</v>
      </c>
      <c r="D23" s="19">
        <f>C23-B23</f>
        <v>12920</v>
      </c>
      <c r="E23" s="19">
        <f>6432+57+345</f>
        <v>6834</v>
      </c>
      <c r="F23" s="15">
        <f>B23+D23+#REF!</f>
      </c>
      <c r="G23" s="19">
        <v>8587.700000000001</v>
      </c>
      <c r="H23" s="19">
        <v>5047</v>
      </c>
      <c r="I23" s="19">
        <f>G23+H23-B23-D23</f>
        <v>-0.3</v>
      </c>
      <c r="J23" s="19">
        <f>B23-G23</f>
        <v>-7872.7</v>
      </c>
      <c r="K23" s="19"/>
    </row>
    <row r="24" ht="20.05" customHeight="1">
      <c r="A24" s="33"/>
      <c r="B24" s="18">
        <v>1286</v>
      </c>
      <c r="C24" s="19">
        <v>13537</v>
      </c>
      <c r="D24" s="19">
        <f>C24-B24</f>
        <v>12251</v>
      </c>
      <c r="E24" s="19">
        <f>6620+57+345</f>
        <v>7022</v>
      </c>
      <c r="F24" s="15">
        <f>B24+D24+#REF!</f>
      </c>
      <c r="G24" s="19">
        <v>8285</v>
      </c>
      <c r="H24" s="19">
        <v>5252</v>
      </c>
      <c r="I24" s="19">
        <f>G24+H24-B24-D24</f>
        <v>0</v>
      </c>
      <c r="J24" s="19">
        <f>B24-G24</f>
        <v>-6999</v>
      </c>
      <c r="K24" s="19"/>
    </row>
    <row r="25" ht="20.05" customHeight="1">
      <c r="A25" s="33"/>
      <c r="B25" s="18">
        <v>1102</v>
      </c>
      <c r="C25" s="19">
        <v>13804</v>
      </c>
      <c r="D25" s="19">
        <f>C25-B25</f>
        <v>12702</v>
      </c>
      <c r="E25" s="19">
        <f>354+6662+57</f>
        <v>7073</v>
      </c>
      <c r="F25" s="15">
        <f>B25+D25+#REF!</f>
      </c>
      <c r="G25" s="19">
        <v>8215</v>
      </c>
      <c r="H25" s="19">
        <v>5589</v>
      </c>
      <c r="I25" s="19">
        <f>G25+H25-B25-D25</f>
        <v>0</v>
      </c>
      <c r="J25" s="19">
        <f>B25-G25</f>
        <v>-7113</v>
      </c>
      <c r="K25" s="19"/>
    </row>
    <row r="26" ht="20.05" customHeight="1">
      <c r="A26" s="33"/>
      <c r="B26" s="18">
        <v>1782</v>
      </c>
      <c r="C26" s="19">
        <v>14691</v>
      </c>
      <c r="D26" s="19">
        <f>C26-B26</f>
        <v>12909</v>
      </c>
      <c r="E26" s="19">
        <f>E25+'Sales'!E31</f>
        <v>7300.25</v>
      </c>
      <c r="F26" s="15">
        <f>B26+D26+#REF!</f>
      </c>
      <c r="G26" s="19">
        <v>8383</v>
      </c>
      <c r="H26" s="19">
        <f>C26-G26</f>
        <v>6308</v>
      </c>
      <c r="I26" s="19">
        <f>G26+H26-B26-D26</f>
        <v>0</v>
      </c>
      <c r="J26" s="19">
        <f>B26-G26</f>
        <v>-6601</v>
      </c>
      <c r="K26" s="19">
        <f>J26</f>
        <v>-6601</v>
      </c>
    </row>
    <row r="27" ht="20.05" customHeight="1">
      <c r="A27" s="35">
        <v>2022</v>
      </c>
      <c r="B27" s="18"/>
      <c r="C27" s="19"/>
      <c r="D27" s="19"/>
      <c r="E27" s="19"/>
      <c r="F27" s="15">
        <f>B27+D27+#REF!</f>
      </c>
      <c r="G27" s="19"/>
      <c r="H27" s="19"/>
      <c r="I27" s="19"/>
      <c r="J27" s="19"/>
      <c r="K27" s="19">
        <f>'Model '!F30</f>
        <v>-3574.02460206</v>
      </c>
    </row>
  </sheetData>
  <mergeCells count="1">
    <mergeCell ref="A1:K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2:D20"/>
  <sheetViews>
    <sheetView workbookViewId="0" showGridLines="0" defaultGridColor="1"/>
  </sheetViews>
  <sheetFormatPr defaultColWidth="8.33333" defaultRowHeight="19.9" customHeight="1" outlineLevelRow="0" outlineLevelCol="0"/>
  <cols>
    <col min="1" max="1" width="11.1094" style="39" customWidth="1"/>
    <col min="2" max="2" width="7.375" style="39" customWidth="1"/>
    <col min="3" max="4" width="8.69531" style="39" customWidth="1"/>
    <col min="5" max="16384" width="8.35156" style="39" customWidth="1"/>
  </cols>
  <sheetData>
    <row r="1" ht="27.65" customHeight="1">
      <c r="B1" t="s" s="2">
        <v>57</v>
      </c>
      <c r="C1" s="2"/>
      <c r="D1" s="2"/>
    </row>
    <row r="2" ht="20.25" customHeight="1">
      <c r="B2" t="s" s="40">
        <v>58</v>
      </c>
      <c r="C2" t="s" s="40">
        <v>59</v>
      </c>
      <c r="D2" t="s" s="40">
        <v>60</v>
      </c>
    </row>
    <row r="3" ht="20.25" customHeight="1">
      <c r="B3" s="41">
        <v>2018</v>
      </c>
      <c r="C3" s="42">
        <v>970</v>
      </c>
      <c r="D3" s="43"/>
    </row>
    <row r="4" ht="20.05" customHeight="1">
      <c r="B4" s="44"/>
      <c r="C4" s="45">
        <v>810</v>
      </c>
      <c r="D4" s="46"/>
    </row>
    <row r="5" ht="20.05" customHeight="1">
      <c r="B5" s="44"/>
      <c r="C5" s="45">
        <v>745</v>
      </c>
      <c r="D5" s="46"/>
    </row>
    <row r="6" ht="20.05" customHeight="1">
      <c r="B6" s="44"/>
      <c r="C6" s="45">
        <v>755</v>
      </c>
      <c r="D6" s="46"/>
    </row>
    <row r="7" ht="20.05" customHeight="1">
      <c r="B7" s="47">
        <v>2019</v>
      </c>
      <c r="C7" s="45">
        <v>1225</v>
      </c>
      <c r="D7" s="46"/>
    </row>
    <row r="8" ht="20.05" customHeight="1">
      <c r="B8" s="44"/>
      <c r="C8" s="45">
        <v>1135</v>
      </c>
      <c r="D8" s="46"/>
    </row>
    <row r="9" ht="20.05" customHeight="1">
      <c r="B9" s="44"/>
      <c r="C9" s="45">
        <v>965</v>
      </c>
      <c r="D9" s="48"/>
    </row>
    <row r="10" ht="20.05" customHeight="1">
      <c r="B10" s="44"/>
      <c r="C10" s="45">
        <v>825</v>
      </c>
      <c r="D10" s="48"/>
    </row>
    <row r="11" ht="20.05" customHeight="1">
      <c r="B11" s="47">
        <v>2020</v>
      </c>
      <c r="C11" s="45">
        <v>428</v>
      </c>
      <c r="D11" s="48"/>
    </row>
    <row r="12" ht="20.05" customHeight="1">
      <c r="B12" s="44"/>
      <c r="C12" s="45">
        <v>595</v>
      </c>
      <c r="D12" s="48"/>
    </row>
    <row r="13" ht="20.05" customHeight="1">
      <c r="B13" s="44"/>
      <c r="C13" s="45">
        <v>675</v>
      </c>
      <c r="D13" s="48"/>
    </row>
    <row r="14" ht="20.05" customHeight="1">
      <c r="B14" s="44"/>
      <c r="C14" s="45">
        <v>1485</v>
      </c>
      <c r="D14" s="48"/>
    </row>
    <row r="15" ht="20.05" customHeight="1">
      <c r="B15" s="47">
        <v>2021</v>
      </c>
      <c r="C15" s="45">
        <v>1615</v>
      </c>
      <c r="D15" s="48"/>
    </row>
    <row r="16" ht="20.05" customHeight="1">
      <c r="B16" s="44"/>
      <c r="C16" s="45">
        <v>1490</v>
      </c>
      <c r="D16" s="48"/>
    </row>
    <row r="17" ht="20.05" customHeight="1">
      <c r="B17" s="44"/>
      <c r="C17" s="45">
        <v>1510</v>
      </c>
      <c r="D17" s="48"/>
    </row>
    <row r="18" ht="20.05" customHeight="1">
      <c r="B18" s="44"/>
      <c r="C18" s="45">
        <v>1455</v>
      </c>
      <c r="D18" s="48"/>
    </row>
    <row r="19" ht="20.05" customHeight="1">
      <c r="B19" s="47">
        <v>2022</v>
      </c>
      <c r="C19" s="45">
        <v>1600</v>
      </c>
      <c r="D19" s="46">
        <f>C19</f>
        <v>1600</v>
      </c>
    </row>
    <row r="20" ht="20.05" customHeight="1">
      <c r="B20" s="44"/>
      <c r="C20" s="45"/>
      <c r="D20" s="46">
        <f>'Model '!F43</f>
        <v>3146.905273813650</v>
      </c>
    </row>
  </sheetData>
  <mergeCells count="1">
    <mergeCell ref="B1:D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7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8.44531" style="49" customWidth="1"/>
    <col min="2" max="9" width="9.33594" style="49" customWidth="1"/>
    <col min="10" max="16384" width="16.3516" style="49" customWidth="1"/>
  </cols>
  <sheetData>
    <row r="1" ht="27.65" customHeight="1">
      <c r="A1" t="s" s="2">
        <v>61</v>
      </c>
      <c r="B1" s="2"/>
      <c r="C1" s="2"/>
      <c r="D1" s="2"/>
      <c r="E1" s="2"/>
      <c r="F1" s="2"/>
      <c r="G1" s="2"/>
      <c r="H1" s="2"/>
      <c r="I1" s="2"/>
    </row>
    <row r="2" ht="20.25" customHeight="1">
      <c r="A2" s="5"/>
      <c r="B2" t="s" s="6">
        <v>51</v>
      </c>
      <c r="C2" t="s" s="6">
        <v>62</v>
      </c>
      <c r="D2" t="s" s="6">
        <v>11</v>
      </c>
      <c r="E2" t="s" s="6">
        <v>25</v>
      </c>
      <c r="F2" s="5"/>
      <c r="G2" s="5"/>
      <c r="H2" s="4"/>
      <c r="I2" s="4"/>
    </row>
    <row r="3" ht="20.25" customHeight="1">
      <c r="A3" s="28">
        <v>2007</v>
      </c>
      <c r="B3" s="29"/>
      <c r="C3" s="31"/>
      <c r="D3" s="31"/>
      <c r="E3" s="31"/>
      <c r="F3" s="31"/>
      <c r="G3" s="31"/>
      <c r="H3" s="9"/>
      <c r="I3" s="9"/>
    </row>
    <row r="4" ht="20.05" customHeight="1">
      <c r="A4" s="35">
        <v>2008</v>
      </c>
      <c r="B4" s="18"/>
      <c r="C4" s="19"/>
      <c r="D4" s="19"/>
      <c r="E4" s="19"/>
      <c r="F4" s="19"/>
      <c r="G4" s="19"/>
      <c r="H4" s="23"/>
      <c r="I4" s="23"/>
    </row>
    <row r="5" ht="20.05" customHeight="1">
      <c r="A5" s="35">
        <v>2009</v>
      </c>
      <c r="B5" s="18"/>
      <c r="C5" s="19">
        <v>-55.799</v>
      </c>
      <c r="D5" s="19">
        <f>-727.712-C5-E5</f>
        <v>-1.382</v>
      </c>
      <c r="E5" s="19">
        <v>-670.5309999999999</v>
      </c>
      <c r="F5" s="19">
        <f>D5</f>
        <v>-1.382</v>
      </c>
      <c r="G5" s="19">
        <f>E5</f>
        <v>-670.5309999999999</v>
      </c>
      <c r="H5" s="19">
        <f>D5+E5</f>
        <v>-671.913</v>
      </c>
      <c r="I5" s="22">
        <f>H5</f>
        <v>-671.913</v>
      </c>
    </row>
    <row r="6" ht="20.05" customHeight="1">
      <c r="A6" s="35">
        <v>2010</v>
      </c>
      <c r="B6" s="18"/>
      <c r="C6" s="19">
        <v>-15.028</v>
      </c>
      <c r="D6" s="19">
        <f>-127.718-C6-E6</f>
        <v>44.181</v>
      </c>
      <c r="E6" s="19">
        <v>-156.871</v>
      </c>
      <c r="F6" s="19">
        <f>D6+F5</f>
        <v>42.799</v>
      </c>
      <c r="G6" s="19">
        <f>E6+G5</f>
        <v>-827.402</v>
      </c>
      <c r="H6" s="19">
        <f>D6+E6</f>
        <v>-112.69</v>
      </c>
      <c r="I6" s="22">
        <f>H6+I5</f>
        <v>-784.603</v>
      </c>
    </row>
    <row r="7" ht="20.05" customHeight="1">
      <c r="A7" s="35">
        <v>2011</v>
      </c>
      <c r="B7" s="18"/>
      <c r="C7" s="19">
        <v>-22.422</v>
      </c>
      <c r="D7" s="19">
        <f>-299.714-C7-E7</f>
        <v>196.647</v>
      </c>
      <c r="E7" s="19">
        <v>-473.939</v>
      </c>
      <c r="F7" s="19">
        <f>D7+F6</f>
        <v>239.446</v>
      </c>
      <c r="G7" s="19">
        <f>E7+G6</f>
        <v>-1301.341</v>
      </c>
      <c r="H7" s="19">
        <f>D7+E7</f>
        <v>-277.292</v>
      </c>
      <c r="I7" s="22">
        <f>H7+I6</f>
        <v>-1061.895</v>
      </c>
    </row>
    <row r="8" ht="20.05" customHeight="1">
      <c r="A8" s="35">
        <v>2012</v>
      </c>
      <c r="B8" s="18"/>
      <c r="C8" s="19">
        <v>-30.305</v>
      </c>
      <c r="D8" s="19">
        <f>-858.741-C8-E8</f>
        <v>-380.1</v>
      </c>
      <c r="E8" s="19">
        <v>-448.336</v>
      </c>
      <c r="F8" s="19">
        <f>D8+F7</f>
        <v>-140.654</v>
      </c>
      <c r="G8" s="19">
        <f>E8+G7</f>
        <v>-1749.677</v>
      </c>
      <c r="H8" s="19">
        <f>D8+E8</f>
        <v>-828.436</v>
      </c>
      <c r="I8" s="22">
        <f>H8+I7</f>
        <v>-1890.331</v>
      </c>
    </row>
    <row r="9" ht="20.05" customHeight="1">
      <c r="A9" s="35">
        <v>2013</v>
      </c>
      <c r="B9" s="18"/>
      <c r="C9" s="19">
        <v>-38.821</v>
      </c>
      <c r="D9" s="19">
        <f>1052.368-C9</f>
        <v>1091.189</v>
      </c>
      <c r="E9" s="19">
        <v>0</v>
      </c>
      <c r="F9" s="19">
        <f>D9+F8</f>
        <v>950.535</v>
      </c>
      <c r="G9" s="19">
        <f>E9+G8</f>
        <v>-1749.677</v>
      </c>
      <c r="H9" s="19">
        <f>D9+E9</f>
        <v>1091.189</v>
      </c>
      <c r="I9" s="22">
        <f>H9+I8</f>
        <v>-799.1420000000001</v>
      </c>
    </row>
    <row r="10" ht="20.05" customHeight="1">
      <c r="A10" s="35">
        <v>2014</v>
      </c>
      <c r="B10" s="18"/>
      <c r="C10" s="19">
        <v>-111.846</v>
      </c>
      <c r="D10" s="19">
        <v>931.3200000000001</v>
      </c>
      <c r="E10" s="19">
        <v>0</v>
      </c>
      <c r="F10" s="19">
        <f>D10+F9</f>
        <v>1881.855</v>
      </c>
      <c r="G10" s="19">
        <f>E10+G9</f>
        <v>-1749.677</v>
      </c>
      <c r="H10" s="19">
        <f>D10+E10</f>
        <v>931.3200000000001</v>
      </c>
      <c r="I10" s="22">
        <f>H10+I9</f>
        <v>132.178</v>
      </c>
    </row>
    <row r="11" ht="20.05" customHeight="1">
      <c r="A11" s="35">
        <v>2015</v>
      </c>
      <c r="B11" s="18"/>
      <c r="C11" s="19">
        <v>-129.296</v>
      </c>
      <c r="D11" s="19">
        <f>-473.979-C11</f>
        <v>-344.683</v>
      </c>
      <c r="E11" s="19">
        <v>0</v>
      </c>
      <c r="F11" s="19">
        <f>D11+F10</f>
        <v>1537.172</v>
      </c>
      <c r="G11" s="19">
        <f>E11+G10</f>
        <v>-1749.677</v>
      </c>
      <c r="H11" s="19">
        <f>D11+E11</f>
        <v>-344.683</v>
      </c>
      <c r="I11" s="22">
        <f>H11+I10</f>
        <v>-212.505</v>
      </c>
    </row>
    <row r="12" ht="20.05" customHeight="1">
      <c r="A12" s="35">
        <v>2016</v>
      </c>
      <c r="B12" s="18"/>
      <c r="C12" s="19">
        <v>-118.24</v>
      </c>
      <c r="D12" s="19">
        <v>-349.265</v>
      </c>
      <c r="E12" s="19">
        <v>0</v>
      </c>
      <c r="F12" s="19">
        <f>D12+F11</f>
        <v>1187.907</v>
      </c>
      <c r="G12" s="19">
        <f>E12+G11</f>
        <v>-1749.677</v>
      </c>
      <c r="H12" s="19">
        <f>D12+E12</f>
        <v>-349.265</v>
      </c>
      <c r="I12" s="22">
        <f>H12+I11</f>
        <v>-561.77</v>
      </c>
    </row>
    <row r="13" ht="20.05" customHeight="1">
      <c r="A13" s="35">
        <v>2017</v>
      </c>
      <c r="B13" s="18"/>
      <c r="C13" s="19">
        <v>-200.412</v>
      </c>
      <c r="D13" s="19">
        <v>1955.193</v>
      </c>
      <c r="E13" s="19">
        <v>0</v>
      </c>
      <c r="F13" s="19">
        <f>D13+F12</f>
        <v>3143.1</v>
      </c>
      <c r="G13" s="19">
        <f>E13+G12</f>
        <v>-1749.677</v>
      </c>
      <c r="H13" s="19">
        <f>D13+E13</f>
        <v>1955.193</v>
      </c>
      <c r="I13" s="22">
        <f>H13+I12</f>
        <v>1393.423</v>
      </c>
    </row>
    <row r="14" ht="20.05" customHeight="1">
      <c r="A14" s="35">
        <v>2018</v>
      </c>
      <c r="B14" s="18"/>
      <c r="C14" s="19">
        <v>-322.911</v>
      </c>
      <c r="D14" s="19">
        <f>2081.111-C14</f>
        <v>2404.022</v>
      </c>
      <c r="E14" s="19">
        <v>0</v>
      </c>
      <c r="F14" s="19">
        <f>D14+F13</f>
        <v>5547.122</v>
      </c>
      <c r="G14" s="19">
        <f>E14+G13</f>
        <v>-1749.677</v>
      </c>
      <c r="H14" s="19">
        <f>D14+E14</f>
        <v>2404.022</v>
      </c>
      <c r="I14" s="22">
        <f>H14+I13</f>
        <v>3797.445</v>
      </c>
    </row>
    <row r="15" ht="20.05" customHeight="1">
      <c r="A15" s="35">
        <v>2019</v>
      </c>
      <c r="B15" s="18"/>
      <c r="C15" s="19">
        <v>-781.696</v>
      </c>
      <c r="D15" s="19">
        <f>4436.952-C15-E15</f>
        <v>5405.019</v>
      </c>
      <c r="E15" s="19">
        <v>-186.371</v>
      </c>
      <c r="F15" s="19">
        <f>D15+F14</f>
        <v>10952.141</v>
      </c>
      <c r="G15" s="19">
        <f>E15+G14</f>
        <v>-1936.048</v>
      </c>
      <c r="H15" s="19">
        <f>D15+E15</f>
        <v>5218.648</v>
      </c>
      <c r="I15" s="22">
        <f>H15+I14</f>
        <v>9016.093000000001</v>
      </c>
    </row>
    <row r="16" ht="20.05" customHeight="1">
      <c r="A16" s="35">
        <v>2020</v>
      </c>
      <c r="B16" s="18">
        <v>-14.646</v>
      </c>
      <c r="C16" s="19">
        <v>-647.169</v>
      </c>
      <c r="D16" s="19">
        <f>-5029.804-C16-B16</f>
        <v>-4367.989</v>
      </c>
      <c r="E16" s="19">
        <v>0</v>
      </c>
      <c r="F16" s="19">
        <f>D16+F15</f>
        <v>6584.152</v>
      </c>
      <c r="G16" s="19">
        <f>E16+G15</f>
        <v>-1936.048</v>
      </c>
      <c r="H16" s="19">
        <f>D16+E16</f>
        <v>-4367.989</v>
      </c>
      <c r="I16" s="22">
        <f>H16+I15</f>
        <v>4648.104</v>
      </c>
    </row>
    <row r="17" ht="20.05" customHeight="1">
      <c r="A17" s="35">
        <v>2021</v>
      </c>
      <c r="B17" s="18"/>
      <c r="C17" s="19">
        <f>SUM('Cashflow'!F28:F30)</f>
        <v>-272.8</v>
      </c>
      <c r="D17" s="19">
        <f>SUM('Cashflow'!H28:H30)</f>
        <v>-2005.2</v>
      </c>
      <c r="E17" s="19">
        <v>0</v>
      </c>
      <c r="F17" s="19">
        <f>D17+F16</f>
        <v>4578.952</v>
      </c>
      <c r="G17" s="19">
        <f>E17+G16</f>
        <v>-1936.048</v>
      </c>
      <c r="H17" s="19">
        <f>D17+E17</f>
        <v>-2005.2</v>
      </c>
      <c r="I17" s="19">
        <f>H17+I16</f>
        <v>2642.904</v>
      </c>
    </row>
  </sheetData>
  <mergeCells count="1">
    <mergeCell ref="A1:I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