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 " sheetId="1" r:id="rId4"/>
    <sheet name="Sales" sheetId="2" r:id="rId5"/>
    <sheet name="Cashflow" sheetId="3" r:id="rId6"/>
    <sheet name="Balance sheets " sheetId="4" r:id="rId7"/>
    <sheet name="Share price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<sst xmlns="http://schemas.openxmlformats.org/spreadsheetml/2006/main" uniqueCount="60">
  <si>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</si>
  <si>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</si>
  <si>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2022</t>
  </si>
  <si>
    <t>Cashflow</t>
  </si>
  <si>
    <t>Growth</t>
  </si>
  <si>
    <t>Sales</t>
  </si>
  <si>
    <t>Ccost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</si>
  <si>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</si>
  <si>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</si>
  <si>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</si>
  <si>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</si>
  <si>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</si>
  <si>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</si>
  <si>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</si>
  <si>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</si>
  <si>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</si>
  <si>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</si>
  <si>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</si>
  <si>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</si>
  <si>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</si>
  <si>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</si>
  <si>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</si>
  <si>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</si>
  <si>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</si>
  <si>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</si>
  <si>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</si>
  <si>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</si>
  <si>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</si>
  <si>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</si>
  <si>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</si>
  <si>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</si>
  <si>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</si>
  <si>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</si>
  <si>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</si>
  <si>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</si>
  <si>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</si>
  <si>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</si>
  <si>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</si>
  <si>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</si>
  <si>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</si>
  <si>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</si>
  <si>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</si>
  <si>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</si>
  <si>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Net profit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</si>
  <si>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</si>
  <si>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</si>
  <si>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</si>
  <si>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</si>
  <si>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</si>
  <si>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>Interest</t>
  </si>
  <si>
    <t>Leases</t>
  </si>
  <si>
    <t xml:space="preserve">Free cashflow </t>
  </si>
  <si>
    <t xml:space="preserve">Cash </t>
  </si>
  <si>
    <t>Assets</t>
  </si>
  <si>
    <t xml:space="preserve">Total asset </t>
  </si>
  <si>
    <t>Check</t>
  </si>
  <si>
    <t>Timah Persero Tbk (TINS) Historical Prices - Investing.com</t>
  </si>
  <si>
    <t>Date</t>
  </si>
  <si>
    <t>TINS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</si>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</sst>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3" fontId="0" borderId="4" applyNumberFormat="1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313996</xdr:colOff>
      <xdr:row>1</xdr:row>
      <xdr:rowOff>127567</xdr:rowOff>
    </xdr:from>
    <xdr:to>
      <xdr:col>13</xdr:col>
      <xdr:colOff>1195115</xdr:colOff>
      <xdr:row>49</xdr:row>
      <xdr:rowOff>11488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16196" y="895282"/>
          <a:ext cx="9593320" cy="122302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4.0859" style="1" customWidth="1"/>
    <col min="2" max="2" width="14.7656" style="1" customWidth="1"/>
    <col min="3" max="6" width="8.77344" style="1" customWidth="1"/>
    <col min="7" max="16384" width="16.3516" style="1" customWidth="1"/>
  </cols>
  <sheetData>
    <row r="1" ht="60.4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5"/>
      <c r="E3" t="s" s="6">
        <v>2</v>
      </c>
      <c r="F3" s="4"/>
    </row>
    <row r="4" ht="20.3" customHeight="1">
      <c r="B4" t="s" s="7">
        <v>3</v>
      </c>
      <c r="C4" s="8">
        <f>AVERAGE('Sales'!G29:G32)</f>
        <v>0.173792468571769</v>
      </c>
      <c r="D4" s="9"/>
      <c r="E4" s="9"/>
      <c r="F4" s="10">
        <f>AVERAGE(C5:F5)</f>
        <v>0.035</v>
      </c>
    </row>
    <row r="5" ht="20.1" customHeight="1">
      <c r="B5" t="s" s="11">
        <v>4</v>
      </c>
      <c r="C5" s="12">
        <v>0.05</v>
      </c>
      <c r="D5" s="13">
        <v>0.03</v>
      </c>
      <c r="E5" s="13">
        <v>0.07000000000000001</v>
      </c>
      <c r="F5" s="13">
        <v>-0.01</v>
      </c>
    </row>
    <row r="6" ht="20.1" customHeight="1">
      <c r="B6" t="s" s="11">
        <v>5</v>
      </c>
      <c r="C6" s="14">
        <f>'Sales'!C32*(1+C5)</f>
        <v>4612.65</v>
      </c>
      <c r="D6" s="15">
        <f>C6*(1+D5)</f>
        <v>4751.0295</v>
      </c>
      <c r="E6" s="15">
        <f>D6*(1+E5)</f>
        <v>5083.601565</v>
      </c>
      <c r="F6" s="15">
        <f>E6*(1+F5)</f>
        <v>5032.76554935</v>
      </c>
    </row>
    <row r="7" ht="20.1" customHeight="1">
      <c r="B7" t="s" s="11">
        <v>6</v>
      </c>
      <c r="C7" s="16">
        <f>AVERAGE('Sales'!H32)</f>
        <v>-0.82096517186433</v>
      </c>
      <c r="D7" s="17">
        <f>C7</f>
        <v>-0.82096517186433</v>
      </c>
      <c r="E7" s="17">
        <f>D7</f>
        <v>-0.82096517186433</v>
      </c>
      <c r="F7" s="17">
        <f>E7</f>
        <v>-0.82096517186433</v>
      </c>
    </row>
    <row r="8" ht="20.1" customHeight="1">
      <c r="B8" t="s" s="11">
        <v>7</v>
      </c>
      <c r="C8" s="18">
        <f>C7*C6</f>
        <v>-3786.825</v>
      </c>
      <c r="D8" s="19">
        <f>D7*D6</f>
        <v>-3900.42975</v>
      </c>
      <c r="E8" s="19">
        <f>E7*E6</f>
        <v>-4173.4598325</v>
      </c>
      <c r="F8" s="19">
        <f>F7*F6</f>
        <v>-4131.725234175</v>
      </c>
    </row>
    <row r="9" ht="20.1" customHeight="1">
      <c r="B9" t="s" s="11">
        <v>8</v>
      </c>
      <c r="C9" s="18">
        <f>C6+C8</f>
        <v>825.825</v>
      </c>
      <c r="D9" s="19">
        <f>D6+D8</f>
        <v>850.59975</v>
      </c>
      <c r="E9" s="19">
        <f>E6+E8</f>
        <v>910.1417325</v>
      </c>
      <c r="F9" s="19">
        <f>F6+F8</f>
        <v>901.040315175</v>
      </c>
    </row>
    <row r="10" ht="20.05" customHeight="1">
      <c r="B10" t="s" s="11">
        <v>9</v>
      </c>
      <c r="C10" s="18">
        <f>AVERAGE('Cashflow'!E32)</f>
        <v>-211</v>
      </c>
      <c r="D10" s="19">
        <f>C10</f>
        <v>-211</v>
      </c>
      <c r="E10" s="19">
        <f>D10</f>
        <v>-211</v>
      </c>
      <c r="F10" s="19">
        <f>E10</f>
        <v>-211</v>
      </c>
    </row>
    <row r="11" ht="20.1" customHeight="1">
      <c r="B11" t="s" s="11">
        <v>10</v>
      </c>
      <c r="C11" s="18">
        <f>C12+C15+C13</f>
        <v>-562.1475</v>
      </c>
      <c r="D11" s="19">
        <f>D12+D15+D13</f>
        <v>-551.084925</v>
      </c>
      <c r="E11" s="19">
        <f>E12+E15+E13</f>
        <v>-551.37726975</v>
      </c>
      <c r="F11" s="19">
        <f>F12+F15+F13</f>
        <v>-531.9551070525</v>
      </c>
    </row>
    <row r="12" ht="20.1" customHeight="1">
      <c r="B12" t="s" s="11">
        <v>11</v>
      </c>
      <c r="C12" s="18">
        <f>-('Balance sheets '!G27)/20</f>
        <v>-369.9</v>
      </c>
      <c r="D12" s="19">
        <f>-C27/20</f>
        <v>-351.405</v>
      </c>
      <c r="E12" s="19">
        <f>-D27/20</f>
        <v>-333.83475</v>
      </c>
      <c r="F12" s="19">
        <f>-E27/20</f>
        <v>-317.1430125</v>
      </c>
    </row>
    <row r="13" ht="20.1" customHeight="1">
      <c r="B13" t="s" s="11">
        <v>12</v>
      </c>
      <c r="C13" s="18">
        <f>-MIN(0,C16)</f>
        <v>0</v>
      </c>
      <c r="D13" s="19">
        <f>-MIN(C28,D16)</f>
        <v>0</v>
      </c>
      <c r="E13" s="19">
        <f>-MIN(D28,E16)</f>
        <v>0</v>
      </c>
      <c r="F13" s="19">
        <f>-MIN(E28,F16)</f>
        <v>0</v>
      </c>
    </row>
    <row r="14" ht="20.1" customHeight="1">
      <c r="B14" t="s" s="11">
        <v>13</v>
      </c>
      <c r="C14" s="20">
        <v>0.3</v>
      </c>
      <c r="D14" s="19"/>
      <c r="E14" s="19"/>
      <c r="F14" s="19"/>
    </row>
    <row r="15" ht="20.1" customHeight="1">
      <c r="B15" t="s" s="11">
        <v>14</v>
      </c>
      <c r="C15" s="18">
        <f>IF(C22&gt;0,-C22*$C$14,0)</f>
        <v>-192.2475</v>
      </c>
      <c r="D15" s="19">
        <f>IF(D22&gt;0,-D22*$C$14,0)</f>
        <v>-199.679925</v>
      </c>
      <c r="E15" s="19">
        <f>IF(E22&gt;0,-E22*$C$14,0)</f>
        <v>-217.54251975</v>
      </c>
      <c r="F15" s="19">
        <f>IF(F22&gt;0,-F22*$C$14,0)</f>
        <v>-214.8120945525</v>
      </c>
    </row>
    <row r="16" ht="20.05" customHeight="1">
      <c r="B16" t="s" s="11">
        <v>15</v>
      </c>
      <c r="C16" s="18">
        <f>C9+C10+C12+C15</f>
        <v>52.6775</v>
      </c>
      <c r="D16" s="19">
        <f>D9+D10+D12+D15</f>
        <v>88.514825</v>
      </c>
      <c r="E16" s="19">
        <f>E9+E10+E12+E15</f>
        <v>147.76446275</v>
      </c>
      <c r="F16" s="19">
        <f>F9+F10+F12+F15</f>
        <v>158.0852081225</v>
      </c>
    </row>
    <row r="17" ht="20.1" customHeight="1">
      <c r="B17" t="s" s="11">
        <v>16</v>
      </c>
      <c r="C17" s="18">
        <f>'Balance sheets '!B27</f>
        <v>2112.6</v>
      </c>
      <c r="D17" s="19">
        <f>C19</f>
        <v>2165.2775</v>
      </c>
      <c r="E17" s="19">
        <f>D19</f>
        <v>2253.792325</v>
      </c>
      <c r="F17" s="19">
        <f>E19</f>
        <v>2401.55678775</v>
      </c>
    </row>
    <row r="18" ht="20.1" customHeight="1">
      <c r="B18" t="s" s="11">
        <v>17</v>
      </c>
      <c r="C18" s="18">
        <f>C9+C10+C11</f>
        <v>52.6775</v>
      </c>
      <c r="D18" s="19">
        <f>D9+D10+D11</f>
        <v>88.514825</v>
      </c>
      <c r="E18" s="19">
        <f>E9+E10+E11</f>
        <v>147.76446275</v>
      </c>
      <c r="F18" s="19">
        <f>F9+F10+F11</f>
        <v>158.0852081225</v>
      </c>
    </row>
    <row r="19" ht="20.1" customHeight="1">
      <c r="B19" t="s" s="11">
        <v>18</v>
      </c>
      <c r="C19" s="18">
        <f>C17+C18</f>
        <v>2165.2775</v>
      </c>
      <c r="D19" s="19">
        <f>D17+D18</f>
        <v>2253.792325</v>
      </c>
      <c r="E19" s="19">
        <f>E17+E18</f>
        <v>2401.55678775</v>
      </c>
      <c r="F19" s="19">
        <f>F17+F18</f>
        <v>2559.6419958725</v>
      </c>
    </row>
    <row r="20" ht="20.1" customHeight="1">
      <c r="B20" t="s" s="21">
        <v>19</v>
      </c>
      <c r="C20" s="22"/>
      <c r="D20" s="23"/>
      <c r="E20" s="23"/>
      <c r="F20" s="24"/>
    </row>
    <row r="21" ht="20.1" customHeight="1">
      <c r="B21" t="s" s="11">
        <v>20</v>
      </c>
      <c r="C21" s="18">
        <f>-AVERAGE('Sales'!E32)</f>
        <v>-185</v>
      </c>
      <c r="D21" s="19">
        <f>C21</f>
        <v>-185</v>
      </c>
      <c r="E21" s="19">
        <f>D21</f>
        <v>-185</v>
      </c>
      <c r="F21" s="19">
        <f>E21</f>
        <v>-185</v>
      </c>
    </row>
    <row r="22" ht="20.1" customHeight="1">
      <c r="B22" t="s" s="11">
        <v>21</v>
      </c>
      <c r="C22" s="18">
        <f>C6+C8+C21</f>
        <v>640.825</v>
      </c>
      <c r="D22" s="19">
        <f>D6+D8+D21</f>
        <v>665.59975</v>
      </c>
      <c r="E22" s="19">
        <f>E6+E8+E21</f>
        <v>725.1417325</v>
      </c>
      <c r="F22" s="19">
        <f>F6+F8+F21</f>
        <v>716.040315175</v>
      </c>
    </row>
    <row r="23" ht="20.1" customHeight="1">
      <c r="B23" t="s" s="21">
        <v>22</v>
      </c>
      <c r="C23" s="22"/>
      <c r="D23" s="23"/>
      <c r="E23" s="23"/>
      <c r="F23" s="19"/>
    </row>
    <row r="24" ht="20.1" customHeight="1">
      <c r="B24" t="s" s="11">
        <v>23</v>
      </c>
      <c r="C24" s="18">
        <f>'Balance sheets '!D27+'Balance sheets '!E27-C10</f>
        <v>19999.65</v>
      </c>
      <c r="D24" s="19">
        <f>C24-D10</f>
        <v>20210.65</v>
      </c>
      <c r="E24" s="19">
        <f>D24-E10</f>
        <v>20421.65</v>
      </c>
      <c r="F24" s="19">
        <f>E24-F10</f>
        <v>20632.65</v>
      </c>
    </row>
    <row r="25" ht="20.1" customHeight="1">
      <c r="B25" t="s" s="11">
        <v>24</v>
      </c>
      <c r="C25" s="18">
        <f>'Balance sheets '!E27-C21</f>
        <v>7670.25</v>
      </c>
      <c r="D25" s="19">
        <f>C25-D21</f>
        <v>7855.25</v>
      </c>
      <c r="E25" s="19">
        <f>D25-E21</f>
        <v>8040.25</v>
      </c>
      <c r="F25" s="19">
        <f>E25-F21</f>
        <v>8225.25</v>
      </c>
    </row>
    <row r="26" ht="20.1" customHeight="1">
      <c r="B26" t="s" s="11">
        <v>25</v>
      </c>
      <c r="C26" s="18">
        <f>C24-C25</f>
        <v>12329.4</v>
      </c>
      <c r="D26" s="19">
        <f>D24-D25</f>
        <v>12355.4</v>
      </c>
      <c r="E26" s="19">
        <f>E24-E25</f>
        <v>12381.4</v>
      </c>
      <c r="F26" s="19">
        <f>F24-F25</f>
        <v>12407.4</v>
      </c>
    </row>
    <row r="27" ht="20.1" customHeight="1">
      <c r="B27" t="s" s="11">
        <v>11</v>
      </c>
      <c r="C27" s="18">
        <f>'Balance sheets '!G27+C12</f>
        <v>7028.1</v>
      </c>
      <c r="D27" s="19">
        <f>C27+D12</f>
        <v>6676.695</v>
      </c>
      <c r="E27" s="19">
        <f>D27+E12</f>
        <v>6342.86025</v>
      </c>
      <c r="F27" s="19">
        <f>E27+F12</f>
        <v>6025.7172375</v>
      </c>
    </row>
    <row r="28" ht="20.1" customHeight="1">
      <c r="B28" t="s" s="11">
        <v>12</v>
      </c>
      <c r="C28" s="18">
        <f>C13</f>
        <v>0</v>
      </c>
      <c r="D28" s="19">
        <f>C28+D13</f>
        <v>0</v>
      </c>
      <c r="E28" s="19">
        <f>D28+E13</f>
        <v>0</v>
      </c>
      <c r="F28" s="19">
        <f>E28+F13</f>
        <v>0</v>
      </c>
    </row>
    <row r="29" ht="20.05" customHeight="1">
      <c r="B29" t="s" s="11">
        <v>26</v>
      </c>
      <c r="C29" s="18">
        <f>'Balance sheets '!H27+C22+C15</f>
        <v>7466.5775</v>
      </c>
      <c r="D29" s="19">
        <f>C29+D22+D15</f>
        <v>7932.497325</v>
      </c>
      <c r="E29" s="19">
        <f>D29+E22+E15</f>
        <v>8440.09653775</v>
      </c>
      <c r="F29" s="19">
        <f>E29+F22+F15</f>
        <v>8941.324758372501</v>
      </c>
    </row>
    <row r="30" ht="20.1" customHeight="1">
      <c r="B30" t="s" s="11">
        <v>27</v>
      </c>
      <c r="C30" s="18">
        <f>C27+C28+C29-C19-C26</f>
        <v>0</v>
      </c>
      <c r="D30" s="19">
        <f>D27+D28+D29-D19-D26</f>
        <v>0</v>
      </c>
      <c r="E30" s="19">
        <f>E27+E28+E29-E19-E26</f>
        <v>0</v>
      </c>
      <c r="F30" s="19">
        <f>F27+F28+F29-F19-F26</f>
        <v>0</v>
      </c>
    </row>
    <row r="31" ht="20.1" customHeight="1">
      <c r="B31" t="s" s="11">
        <v>28</v>
      </c>
      <c r="C31" s="18">
        <f>C19-C27-C28</f>
        <v>-4862.8225</v>
      </c>
      <c r="D31" s="19">
        <f>D19-D27-D28</f>
        <v>-4422.902675</v>
      </c>
      <c r="E31" s="19">
        <f>E19-E27-E28</f>
        <v>-3941.30346225</v>
      </c>
      <c r="F31" s="19">
        <f>F19-F27-F28</f>
        <v>-3466.0752416275</v>
      </c>
    </row>
    <row r="32" ht="20.1" customHeight="1">
      <c r="B32" t="s" s="21">
        <v>29</v>
      </c>
      <c r="C32" s="18"/>
      <c r="D32" s="19"/>
      <c r="E32" s="19"/>
      <c r="F32" s="19"/>
    </row>
    <row r="33" ht="20.1" customHeight="1">
      <c r="B33" t="s" s="11">
        <v>30</v>
      </c>
      <c r="C33" s="18">
        <f>'Cashflow'!N32-C11</f>
        <v>405.7975</v>
      </c>
      <c r="D33" s="19">
        <f>C33-D11</f>
        <v>956.882425</v>
      </c>
      <c r="E33" s="19">
        <f>D33-E11</f>
        <v>1508.25969475</v>
      </c>
      <c r="F33" s="19">
        <f>E33-F11</f>
        <v>2040.2148018025</v>
      </c>
    </row>
    <row r="34" ht="20.1" customHeight="1">
      <c r="B34" t="s" s="11">
        <v>31</v>
      </c>
      <c r="C34" s="18"/>
      <c r="D34" s="19"/>
      <c r="E34" s="19"/>
      <c r="F34" s="19">
        <v>12437742944256</v>
      </c>
    </row>
    <row r="35" ht="20.1" customHeight="1">
      <c r="B35" t="s" s="11">
        <v>31</v>
      </c>
      <c r="C35" s="18"/>
      <c r="D35" s="19"/>
      <c r="E35" s="19"/>
      <c r="F35" s="19">
        <f>F34/1000000000</f>
        <v>12437.742944256</v>
      </c>
    </row>
    <row r="36" ht="20.1" customHeight="1">
      <c r="B36" t="s" s="11">
        <v>32</v>
      </c>
      <c r="C36" s="18"/>
      <c r="D36" s="19"/>
      <c r="E36" s="19"/>
      <c r="F36" s="25">
        <f>F35/(F19+F26)</f>
        <v>0.831008755616907</v>
      </c>
    </row>
    <row r="37" ht="20.1" customHeight="1">
      <c r="B37" t="s" s="11">
        <v>33</v>
      </c>
      <c r="C37" s="18"/>
      <c r="D37" s="19"/>
      <c r="E37" s="19"/>
      <c r="F37" s="17">
        <f>-(C15+D15+E15+F15)/F35</f>
        <v>0.0662726382911113</v>
      </c>
    </row>
    <row r="38" ht="20.1" customHeight="1">
      <c r="B38" t="s" s="11">
        <v>3</v>
      </c>
      <c r="C38" s="18"/>
      <c r="D38" s="19"/>
      <c r="E38" s="19"/>
      <c r="F38" s="19">
        <f>SUM(C9:F10)</f>
        <v>2643.606797675</v>
      </c>
    </row>
    <row r="39" ht="20.1" customHeight="1">
      <c r="B39" t="s" s="11">
        <v>34</v>
      </c>
      <c r="C39" s="18"/>
      <c r="D39" s="19"/>
      <c r="E39" s="19"/>
      <c r="F39" s="19">
        <f>'Balance sheets '!D27/F38</f>
        <v>4.65402041287706</v>
      </c>
    </row>
    <row r="40" ht="20.1" customHeight="1">
      <c r="B40" t="s" s="11">
        <v>29</v>
      </c>
      <c r="C40" s="18"/>
      <c r="D40" s="19"/>
      <c r="E40" s="19"/>
      <c r="F40" s="19">
        <f>F35/F38</f>
        <v>4.70483846356983</v>
      </c>
    </row>
    <row r="41" ht="20.1" customHeight="1">
      <c r="B41" t="s" s="11">
        <v>35</v>
      </c>
      <c r="C41" s="18"/>
      <c r="D41" s="19"/>
      <c r="E41" s="19"/>
      <c r="F41" s="19">
        <v>8</v>
      </c>
    </row>
    <row r="42" ht="20.1" customHeight="1">
      <c r="B42" t="s" s="11">
        <v>36</v>
      </c>
      <c r="C42" s="18"/>
      <c r="D42" s="19"/>
      <c r="E42" s="19"/>
      <c r="F42" s="19">
        <f>F38*F41</f>
        <v>21148.8543814</v>
      </c>
    </row>
    <row r="43" ht="20.1" customHeight="1">
      <c r="B43" t="s" s="11">
        <v>37</v>
      </c>
      <c r="C43" s="18"/>
      <c r="D43" s="19"/>
      <c r="E43" s="19"/>
      <c r="F43" s="19">
        <f>F35/F45</f>
        <v>7.44775026602156</v>
      </c>
    </row>
    <row r="44" ht="20.1" customHeight="1">
      <c r="B44" t="s" s="11">
        <v>38</v>
      </c>
      <c r="C44" s="18"/>
      <c r="D44" s="19"/>
      <c r="E44" s="19"/>
      <c r="F44" s="19">
        <f>F42/F43</f>
        <v>2839.629905138760</v>
      </c>
    </row>
    <row r="45" ht="20.1" customHeight="1">
      <c r="B45" t="s" s="11">
        <v>39</v>
      </c>
      <c r="C45" s="18"/>
      <c r="D45" s="19"/>
      <c r="E45" s="19"/>
      <c r="F45" s="19">
        <v>1670</v>
      </c>
    </row>
    <row r="46" ht="20.1" customHeight="1">
      <c r="B46" t="s" s="11">
        <v>40</v>
      </c>
      <c r="C46" s="18"/>
      <c r="D46" s="19"/>
      <c r="E46" s="19"/>
      <c r="F46" s="17">
        <f>F44/F45-1</f>
        <v>0.700377188705844</v>
      </c>
    </row>
    <row r="47" ht="20.1" customHeight="1">
      <c r="B47" t="s" s="11">
        <v>41</v>
      </c>
      <c r="C47" s="18"/>
      <c r="D47" s="19"/>
      <c r="E47" s="19"/>
      <c r="F47" s="17">
        <f>'Sales'!C32/'Sales'!C28-1</f>
        <v>0.796213762930858</v>
      </c>
    </row>
    <row r="48" ht="20.1" customHeight="1">
      <c r="B48" t="s" s="11">
        <v>42</v>
      </c>
      <c r="C48" s="18"/>
      <c r="D48" s="19"/>
      <c r="E48" s="19"/>
      <c r="F48" s="17">
        <f>'Sales'!F35/'Sales'!E35-1</f>
        <v>0.0541229561306552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0.914062" style="26" customWidth="1"/>
    <col min="2" max="2" width="11.3125" style="26" customWidth="1"/>
    <col min="3" max="10" width="10.6875" style="26" customWidth="1"/>
    <col min="11" max="16384" width="16.3516" style="26" customWidth="1"/>
  </cols>
  <sheetData>
    <row r="1" ht="9.3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6">
        <v>1</v>
      </c>
      <c r="C3" t="s" s="6">
        <v>5</v>
      </c>
      <c r="D3" t="s" s="6">
        <v>35</v>
      </c>
      <c r="E3" t="s" s="6">
        <v>24</v>
      </c>
      <c r="F3" t="s" s="6">
        <v>43</v>
      </c>
      <c r="G3" t="s" s="6">
        <v>44</v>
      </c>
      <c r="H3" t="s" s="6">
        <v>45</v>
      </c>
      <c r="I3" t="s" s="6">
        <v>45</v>
      </c>
      <c r="J3" t="s" s="6">
        <v>35</v>
      </c>
    </row>
    <row r="4" ht="20.25" customHeight="1">
      <c r="B4" s="27">
        <v>2015</v>
      </c>
      <c r="C4" s="28">
        <v>1374</v>
      </c>
      <c r="D4" s="29"/>
      <c r="E4" s="30">
        <v>114.75</v>
      </c>
      <c r="F4" s="30">
        <v>-6</v>
      </c>
      <c r="G4" s="10"/>
      <c r="H4" s="31">
        <f>(E4+F4-C4)/C4</f>
        <v>-0.920851528384279</v>
      </c>
      <c r="I4" s="31"/>
      <c r="J4" s="31"/>
    </row>
    <row r="5" ht="20.05" customHeight="1">
      <c r="B5" s="32"/>
      <c r="C5" s="18">
        <v>1842</v>
      </c>
      <c r="D5" s="33"/>
      <c r="E5" s="19">
        <v>114.75</v>
      </c>
      <c r="F5" s="19">
        <v>17</v>
      </c>
      <c r="G5" s="17">
        <f>C5/C4-1</f>
        <v>0.34061135371179</v>
      </c>
      <c r="H5" s="17">
        <f>(E5+F5-C5)/C5</f>
        <v>-0.928474484256243</v>
      </c>
      <c r="I5" s="17"/>
      <c r="J5" s="17"/>
    </row>
    <row r="6" ht="20.05" customHeight="1">
      <c r="B6" s="32"/>
      <c r="C6" s="18">
        <v>1927</v>
      </c>
      <c r="D6" s="33"/>
      <c r="E6" s="19">
        <v>114.75</v>
      </c>
      <c r="F6" s="19">
        <v>-1</v>
      </c>
      <c r="G6" s="17">
        <f>C6/C5-1</f>
        <v>0.0461454940282302</v>
      </c>
      <c r="H6" s="17">
        <f>(E6+F6-C6)/C6</f>
        <v>-0.940970420342501</v>
      </c>
      <c r="I6" s="17"/>
      <c r="J6" s="17"/>
    </row>
    <row r="7" ht="20.05" customHeight="1">
      <c r="B7" s="32"/>
      <c r="C7" s="18">
        <v>1731</v>
      </c>
      <c r="D7" s="33"/>
      <c r="E7" s="19">
        <v>114.75</v>
      </c>
      <c r="F7" s="19">
        <v>92</v>
      </c>
      <c r="G7" s="17">
        <f>C7/C6-1</f>
        <v>-0.101712506486767</v>
      </c>
      <c r="H7" s="17">
        <f>(E7+F7-C7)/C7</f>
        <v>-0.880560369728481</v>
      </c>
      <c r="I7" s="17"/>
      <c r="J7" s="17"/>
    </row>
    <row r="8" ht="20.05" customHeight="1">
      <c r="B8" s="34">
        <v>2016</v>
      </c>
      <c r="C8" s="18">
        <v>1302</v>
      </c>
      <c r="D8" s="33"/>
      <c r="E8" s="19">
        <v>124</v>
      </c>
      <c r="F8" s="19">
        <v>-139</v>
      </c>
      <c r="G8" s="17">
        <f>C8/C7-1</f>
        <v>-0.247833622183709</v>
      </c>
      <c r="H8" s="17">
        <f>(E8+F8-C8)/C8</f>
        <v>-1.01152073732719</v>
      </c>
      <c r="I8" s="24"/>
      <c r="J8" s="17"/>
    </row>
    <row r="9" ht="20.05" customHeight="1">
      <c r="B9" s="32"/>
      <c r="C9" s="18">
        <v>1494</v>
      </c>
      <c r="D9" s="33"/>
      <c r="E9" s="19">
        <v>116</v>
      </c>
      <c r="F9" s="19">
        <v>106</v>
      </c>
      <c r="G9" s="17">
        <f>C9/C8-1</f>
        <v>0.147465437788018</v>
      </c>
      <c r="H9" s="17">
        <f>(E9+F9-C9)/C9</f>
        <v>-0.85140562248996</v>
      </c>
      <c r="I9" s="24"/>
      <c r="J9" s="17"/>
    </row>
    <row r="10" ht="20.05" customHeight="1">
      <c r="B10" s="32"/>
      <c r="C10" s="18">
        <v>1796</v>
      </c>
      <c r="D10" s="33"/>
      <c r="E10" s="19">
        <v>146</v>
      </c>
      <c r="F10" s="19">
        <v>84</v>
      </c>
      <c r="G10" s="17">
        <f>C10/C9-1</f>
        <v>0.202141900937082</v>
      </c>
      <c r="H10" s="17">
        <f>(E10+F10-C10)/C10</f>
        <v>-0.871937639198218</v>
      </c>
      <c r="I10" s="24"/>
      <c r="J10" s="17"/>
    </row>
    <row r="11" ht="20.05" customHeight="1">
      <c r="B11" s="32"/>
      <c r="C11" s="18">
        <v>2376</v>
      </c>
      <c r="D11" s="33"/>
      <c r="E11" s="19">
        <v>138</v>
      </c>
      <c r="F11" s="19">
        <v>201</v>
      </c>
      <c r="G11" s="17">
        <f>C11/C10-1</f>
        <v>0.32293986636971</v>
      </c>
      <c r="H11" s="17">
        <f>(E11+F11-C11)/C11</f>
        <v>-0.857323232323232</v>
      </c>
      <c r="I11" s="24"/>
      <c r="J11" s="17"/>
    </row>
    <row r="12" ht="20.05" customHeight="1">
      <c r="B12" s="34">
        <v>2017</v>
      </c>
      <c r="C12" s="18">
        <v>2048</v>
      </c>
      <c r="D12" s="33"/>
      <c r="E12" s="19">
        <v>118</v>
      </c>
      <c r="F12" s="19">
        <v>66</v>
      </c>
      <c r="G12" s="17">
        <f>C12/C11-1</f>
        <v>-0.138047138047138</v>
      </c>
      <c r="H12" s="17">
        <f>(E12+F12-C12)/C12</f>
        <v>-0.91015625</v>
      </c>
      <c r="I12" s="17">
        <f>AVERAGE(H9:H12)</f>
        <v>-0.872705686002853</v>
      </c>
      <c r="J12" s="17"/>
    </row>
    <row r="13" ht="20.05" customHeight="1">
      <c r="B13" s="32"/>
      <c r="C13" s="18">
        <v>2253</v>
      </c>
      <c r="D13" s="33"/>
      <c r="E13" s="19">
        <v>141</v>
      </c>
      <c r="F13" s="19">
        <v>85</v>
      </c>
      <c r="G13" s="17">
        <f>C13/C12-1</f>
        <v>0.100097656250</v>
      </c>
      <c r="H13" s="17">
        <f>(E13+F13-C13)/C13</f>
        <v>-0.899689303151354</v>
      </c>
      <c r="I13" s="17">
        <f>AVERAGE(H10:H13)</f>
        <v>-0.884776606168201</v>
      </c>
      <c r="J13" s="17"/>
    </row>
    <row r="14" ht="20.05" customHeight="1">
      <c r="B14" s="32"/>
      <c r="C14" s="18">
        <v>2320</v>
      </c>
      <c r="D14" s="33"/>
      <c r="E14" s="19">
        <v>120</v>
      </c>
      <c r="F14" s="19">
        <v>150</v>
      </c>
      <c r="G14" s="17">
        <f>C14/C13-1</f>
        <v>0.0297381269418553</v>
      </c>
      <c r="H14" s="17">
        <f>(E14+F14-C14)/C14</f>
        <v>-0.883620689655172</v>
      </c>
      <c r="I14" s="17">
        <f>AVERAGE(H11:H14)</f>
        <v>-0.88769736878244</v>
      </c>
      <c r="J14" s="17"/>
    </row>
    <row r="15" ht="20.05" customHeight="1">
      <c r="B15" s="32"/>
      <c r="C15" s="18">
        <v>2596</v>
      </c>
      <c r="D15" s="33"/>
      <c r="E15" s="19">
        <v>136</v>
      </c>
      <c r="F15" s="19">
        <v>201</v>
      </c>
      <c r="G15" s="17">
        <f>C15/C14-1</f>
        <v>0.118965517241379</v>
      </c>
      <c r="H15" s="17">
        <f>(E15+F15-C15)/C15</f>
        <v>-0.870184899845917</v>
      </c>
      <c r="I15" s="17">
        <f>AVERAGE(H12:H15)</f>
        <v>-0.8909127856631111</v>
      </c>
      <c r="J15" s="17"/>
    </row>
    <row r="16" ht="20.05" customHeight="1">
      <c r="B16" s="34">
        <v>2018</v>
      </c>
      <c r="C16" s="18">
        <v>2035</v>
      </c>
      <c r="D16" s="33"/>
      <c r="E16" s="19">
        <v>135</v>
      </c>
      <c r="F16" s="19">
        <v>55</v>
      </c>
      <c r="G16" s="17">
        <f>C16/C15-1</f>
        <v>-0.216101694915254</v>
      </c>
      <c r="H16" s="17">
        <f>(E16+F16-C16)/C16</f>
        <v>-0.906633906633907</v>
      </c>
      <c r="I16" s="17">
        <f>AVERAGE(H13:H16)</f>
        <v>-0.890032199821588</v>
      </c>
      <c r="J16" s="17"/>
    </row>
    <row r="17" ht="20.05" customHeight="1">
      <c r="B17" s="32"/>
      <c r="C17" s="18">
        <v>2342</v>
      </c>
      <c r="D17" s="33"/>
      <c r="E17" s="19">
        <v>141</v>
      </c>
      <c r="F17" s="19">
        <v>115</v>
      </c>
      <c r="G17" s="17">
        <f>C17/C16-1</f>
        <v>0.150859950859951</v>
      </c>
      <c r="H17" s="17">
        <f>(E17+F17-C17)/C17</f>
        <v>-0.89069171648164</v>
      </c>
      <c r="I17" s="17">
        <f>AVERAGE(H14:H17)</f>
        <v>-0.887782803154159</v>
      </c>
      <c r="J17" s="17"/>
    </row>
    <row r="18" ht="20.05" customHeight="1">
      <c r="B18" s="32"/>
      <c r="C18" s="18">
        <v>2425</v>
      </c>
      <c r="D18" s="33"/>
      <c r="E18" s="19">
        <v>136</v>
      </c>
      <c r="F18" s="19">
        <v>86</v>
      </c>
      <c r="G18" s="17">
        <f>C18/C17-1</f>
        <v>0.0354397950469684</v>
      </c>
      <c r="H18" s="17">
        <f>(E18+F18-C18)/C18</f>
        <v>-0.9084536082474231</v>
      </c>
      <c r="I18" s="17">
        <f>AVERAGE(H15:H18)</f>
        <v>-0.893991032802222</v>
      </c>
      <c r="J18" s="17"/>
    </row>
    <row r="19" ht="20.05" customHeight="1">
      <c r="B19" s="32"/>
      <c r="C19" s="18">
        <v>4215</v>
      </c>
      <c r="D19" s="33"/>
      <c r="E19" s="19">
        <v>184</v>
      </c>
      <c r="F19" s="19">
        <v>275</v>
      </c>
      <c r="G19" s="17">
        <f>C19/C18-1</f>
        <v>0.738144329896907</v>
      </c>
      <c r="H19" s="17">
        <f>(E19+F19-C19)/C19</f>
        <v>-0.891103202846975</v>
      </c>
      <c r="I19" s="17">
        <f>AVERAGE(H16:H19)</f>
        <v>-0.899220608552486</v>
      </c>
      <c r="J19" s="17"/>
    </row>
    <row r="20" ht="20.05" customHeight="1">
      <c r="B20" s="34">
        <v>2019</v>
      </c>
      <c r="C20" s="18">
        <v>4167</v>
      </c>
      <c r="D20" s="33"/>
      <c r="E20" s="19">
        <v>157</v>
      </c>
      <c r="F20" s="19">
        <v>300.2</v>
      </c>
      <c r="G20" s="17">
        <f>C20/C19-1</f>
        <v>-0.0113879003558719</v>
      </c>
      <c r="H20" s="17">
        <f>(E20+F20-C20)/C20</f>
        <v>-0.890280777537797</v>
      </c>
      <c r="I20" s="17">
        <f>AVERAGE(H17:H20)</f>
        <v>-0.895132326278459</v>
      </c>
      <c r="J20" s="17"/>
    </row>
    <row r="21" ht="20.05" customHeight="1">
      <c r="B21" s="32"/>
      <c r="C21" s="18">
        <v>5487</v>
      </c>
      <c r="D21" s="33"/>
      <c r="E21" s="19">
        <v>190</v>
      </c>
      <c r="F21" s="19">
        <v>-95.2</v>
      </c>
      <c r="G21" s="17">
        <f>C21/C20-1</f>
        <v>0.316774658027358</v>
      </c>
      <c r="H21" s="17">
        <f>(E21+F21-C21)/C21</f>
        <v>-0.9827227993439041</v>
      </c>
      <c r="I21" s="17">
        <f>AVERAGE(H18:H21)</f>
        <v>-0.918140096994025</v>
      </c>
      <c r="J21" s="17"/>
    </row>
    <row r="22" ht="20.05" customHeight="1">
      <c r="B22" s="32"/>
      <c r="C22" s="18">
        <v>4946</v>
      </c>
      <c r="D22" s="33"/>
      <c r="E22" s="19">
        <v>202</v>
      </c>
      <c r="F22" s="19">
        <v>-384</v>
      </c>
      <c r="G22" s="17">
        <f>C22/C21-1</f>
        <v>-0.0985966830690724</v>
      </c>
      <c r="H22" s="17">
        <f>(E22+F22-C22)/C22</f>
        <v>-1.03679741205014</v>
      </c>
      <c r="I22" s="17">
        <f>AVERAGE(H19:H22)</f>
        <v>-0.950226047944704</v>
      </c>
      <c r="J22" s="17"/>
    </row>
    <row r="23" ht="20.05" customHeight="1">
      <c r="B23" s="32"/>
      <c r="C23" s="18">
        <v>4702.6</v>
      </c>
      <c r="D23" s="33"/>
      <c r="E23" s="19">
        <v>273</v>
      </c>
      <c r="F23" s="19">
        <v>-430</v>
      </c>
      <c r="G23" s="17">
        <f>C23/C22-1</f>
        <v>-0.049211484027497</v>
      </c>
      <c r="H23" s="17">
        <f>(E23+F23-C23)/C23</f>
        <v>-1.03338578658614</v>
      </c>
      <c r="I23" s="17">
        <f>AVERAGE(H20:H23)</f>
        <v>-0.985796693879495</v>
      </c>
      <c r="J23" s="17"/>
    </row>
    <row r="24" ht="20.05" customHeight="1">
      <c r="B24" s="34">
        <v>2020</v>
      </c>
      <c r="C24" s="18">
        <v>4384</v>
      </c>
      <c r="D24" s="33"/>
      <c r="E24" s="19">
        <v>202</v>
      </c>
      <c r="F24" s="19">
        <v>-413</v>
      </c>
      <c r="G24" s="17">
        <f>C24/C23-1</f>
        <v>-0.0677497554544295</v>
      </c>
      <c r="H24" s="17">
        <f>(E24+F24-C24)/C24</f>
        <v>-1.0481295620438</v>
      </c>
      <c r="I24" s="17">
        <f>AVERAGE(H21:H24)</f>
        <v>-1.025258890006</v>
      </c>
      <c r="J24" s="17"/>
    </row>
    <row r="25" ht="20.05" customHeight="1">
      <c r="B25" s="32"/>
      <c r="C25" s="18">
        <v>3595</v>
      </c>
      <c r="D25" s="33"/>
      <c r="E25" s="19">
        <v>187</v>
      </c>
      <c r="F25" s="19">
        <v>23</v>
      </c>
      <c r="G25" s="17">
        <f>C25/C24-1</f>
        <v>-0.179972627737226</v>
      </c>
      <c r="H25" s="17">
        <f>(E25+F25-C25)/C25</f>
        <v>-0.941585535465925</v>
      </c>
      <c r="I25" s="17">
        <f>AVERAGE(H22:H25)</f>
        <v>-1.0149745740365</v>
      </c>
      <c r="J25" s="17"/>
    </row>
    <row r="26" ht="20.05" customHeight="1">
      <c r="B26" s="32"/>
      <c r="C26" s="18">
        <v>3896.1</v>
      </c>
      <c r="D26" s="19">
        <v>3956.8</v>
      </c>
      <c r="E26" s="19">
        <v>194.1</v>
      </c>
      <c r="F26" s="19">
        <v>134.8</v>
      </c>
      <c r="G26" s="17">
        <f>C26/C25-1</f>
        <v>0.0837552155771905</v>
      </c>
      <c r="H26" s="17">
        <f>(E26+F26-C26)/C26</f>
        <v>-0.915582248915582</v>
      </c>
      <c r="I26" s="17">
        <f>AVERAGE(H23:H26)</f>
        <v>-0.9846707832528619</v>
      </c>
      <c r="J26" s="17"/>
    </row>
    <row r="27" ht="20.05" customHeight="1">
      <c r="B27" s="32"/>
      <c r="C27" s="18">
        <v>3340.9</v>
      </c>
      <c r="D27" s="19">
        <v>4285.71</v>
      </c>
      <c r="E27" s="19">
        <v>219.9</v>
      </c>
      <c r="F27" s="19">
        <v>-85.8</v>
      </c>
      <c r="G27" s="17">
        <f>C27/C26-1</f>
        <v>-0.142501475834809</v>
      </c>
      <c r="H27" s="17">
        <f>(E27+F27-C27)/C27</f>
        <v>-0.9598611152683409</v>
      </c>
      <c r="I27" s="17">
        <f>AVERAGE(H24:H27)</f>
        <v>-0.966289615423412</v>
      </c>
      <c r="J27" s="17"/>
    </row>
    <row r="28" ht="20.05" customHeight="1">
      <c r="B28" s="34">
        <v>2021</v>
      </c>
      <c r="C28" s="18">
        <v>2445.7</v>
      </c>
      <c r="D28" s="19">
        <v>3307.491</v>
      </c>
      <c r="E28" s="33">
        <v>227.25</v>
      </c>
      <c r="F28" s="19">
        <v>10.3</v>
      </c>
      <c r="G28" s="17">
        <f>C28/C27-1</f>
        <v>-0.26795174952857</v>
      </c>
      <c r="H28" s="17">
        <f>(E28+F28-C28)/C28</f>
        <v>-0.902870343868831</v>
      </c>
      <c r="I28" s="17">
        <f>AVERAGE(H25:H28)</f>
        <v>-0.92997481087967</v>
      </c>
      <c r="J28" s="17"/>
    </row>
    <row r="29" ht="20.05" customHeight="1">
      <c r="B29" s="32"/>
      <c r="C29" s="18">
        <f>5870.1-C28</f>
        <v>3424.4</v>
      </c>
      <c r="D29" s="19">
        <v>2812.555</v>
      </c>
      <c r="E29" s="19">
        <v>227.25</v>
      </c>
      <c r="F29" s="19">
        <f>270.1-F28</f>
        <v>259.8</v>
      </c>
      <c r="G29" s="17">
        <f>C29/C28-1</f>
        <v>0.400171729975058</v>
      </c>
      <c r="H29" s="17">
        <f>(E29+F29-C29)/C29</f>
        <v>-0.857770704356968</v>
      </c>
      <c r="I29" s="17">
        <f>AVERAGE(H26:H29)</f>
        <v>-0.909021103102431</v>
      </c>
      <c r="J29" s="17"/>
    </row>
    <row r="30" ht="20.05" customHeight="1">
      <c r="B30" s="32"/>
      <c r="C30" s="18">
        <f>9699.2-SUM(C28:C29)</f>
        <v>3829.1</v>
      </c>
      <c r="D30" s="19">
        <v>3492.888</v>
      </c>
      <c r="E30" s="19">
        <v>227.25</v>
      </c>
      <c r="F30" s="19">
        <f>612-SUM(F28:F29)</f>
        <v>341.9</v>
      </c>
      <c r="G30" s="17">
        <f>C30/C29-1</f>
        <v>0.1181812872328</v>
      </c>
      <c r="H30" s="17">
        <f>(E30+F30-C30)/C30</f>
        <v>-0.851361938836802</v>
      </c>
      <c r="I30" s="17">
        <f>AVERAGE(H27:H30)</f>
        <v>-0.892966025582736</v>
      </c>
      <c r="J30" s="17"/>
    </row>
    <row r="31" ht="20.05" customHeight="1">
      <c r="B31" s="32"/>
      <c r="C31" s="18">
        <f>14607-C30-C29-C28</f>
        <v>4907.8</v>
      </c>
      <c r="D31" s="19">
        <v>4403</v>
      </c>
      <c r="E31" s="19">
        <v>227.25</v>
      </c>
      <c r="F31" s="19">
        <f>1303-F30-F29-F28</f>
        <v>691</v>
      </c>
      <c r="G31" s="17">
        <f>C31/C30-1</f>
        <v>0.281711107048654</v>
      </c>
      <c r="H31" s="17">
        <f>(E31+F31-C31)/C31</f>
        <v>-0.812899873670484</v>
      </c>
      <c r="I31" s="17">
        <f>AVERAGE(H28:H31)</f>
        <v>-0.856225715183271</v>
      </c>
      <c r="J31" s="17"/>
    </row>
    <row r="32" ht="20.05" customHeight="1">
      <c r="B32" s="34">
        <v>2022</v>
      </c>
      <c r="C32" s="18">
        <v>4393</v>
      </c>
      <c r="D32" s="15">
        <v>5398.58</v>
      </c>
      <c r="E32" s="19">
        <v>185</v>
      </c>
      <c r="F32" s="19">
        <v>601.5</v>
      </c>
      <c r="G32" s="17">
        <f>C32/C31-1</f>
        <v>-0.104894249969436</v>
      </c>
      <c r="H32" s="17">
        <f>(E32+F32-C32)/C32</f>
        <v>-0.82096517186433</v>
      </c>
      <c r="I32" s="17">
        <f>AVERAGE(H29:H32)</f>
        <v>-0.835749422182146</v>
      </c>
      <c r="J32" s="17">
        <v>-0.812899873670484</v>
      </c>
    </row>
    <row r="33" ht="20.05" customHeight="1">
      <c r="B33" s="32"/>
      <c r="C33" s="18"/>
      <c r="D33" s="15">
        <f>'Model '!C6</f>
        <v>4612.65</v>
      </c>
      <c r="E33" s="19"/>
      <c r="F33" s="19"/>
      <c r="G33" s="13"/>
      <c r="H33" s="13"/>
      <c r="I33" s="13"/>
      <c r="J33" s="17">
        <f>'Model '!C7</f>
        <v>-0.82096517186433</v>
      </c>
    </row>
    <row r="34" ht="20.05" customHeight="1">
      <c r="B34" s="32"/>
      <c r="C34" s="18"/>
      <c r="D34" s="19">
        <f>'Model '!D6</f>
        <v>4751.0295</v>
      </c>
      <c r="E34" s="19"/>
      <c r="F34" s="19"/>
      <c r="G34" s="13"/>
      <c r="H34" s="13"/>
      <c r="I34" s="13"/>
      <c r="J34" s="13"/>
    </row>
    <row r="35" ht="20.05" customHeight="1">
      <c r="B35" s="32"/>
      <c r="C35" s="18"/>
      <c r="D35" s="19">
        <f>'Model '!E6</f>
        <v>5083.601565</v>
      </c>
      <c r="E35" s="19">
        <f>SUM(C26:C32)</f>
        <v>26237</v>
      </c>
      <c r="F35" s="19">
        <f>SUM(D26:D32)</f>
        <v>27657.024</v>
      </c>
      <c r="G35" s="13"/>
      <c r="H35" s="13"/>
      <c r="I35" s="13"/>
      <c r="J35" s="13"/>
    </row>
    <row r="36" ht="20.05" customHeight="1">
      <c r="B36" s="34">
        <v>2023</v>
      </c>
      <c r="C36" s="18"/>
      <c r="D36" s="19">
        <f>'Model '!F6</f>
        <v>5032.76554935</v>
      </c>
      <c r="E36" s="19"/>
      <c r="F36" s="19"/>
      <c r="G36" s="13"/>
      <c r="H36" s="13"/>
      <c r="I36" s="13"/>
      <c r="J36" s="13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25" style="35" customWidth="1"/>
    <col min="2" max="2" width="7.77344" style="35" customWidth="1"/>
    <col min="3" max="3" width="9.64844" style="35" customWidth="1"/>
    <col min="4" max="4" width="9.95312" style="35" customWidth="1"/>
    <col min="5" max="5" width="10.2422" style="35" customWidth="1"/>
    <col min="6" max="7" width="9.95312" style="35" customWidth="1"/>
    <col min="8" max="10" width="9.53125" style="35" customWidth="1"/>
    <col min="11" max="11" width="8.75781" style="35" customWidth="1"/>
    <col min="12" max="16" width="9.74219" style="35" customWidth="1"/>
    <col min="17" max="16384" width="16.3516" style="35" customWidth="1"/>
  </cols>
  <sheetData>
    <row r="1" ht="21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6">
        <v>1</v>
      </c>
      <c r="C3" t="s" s="6">
        <v>46</v>
      </c>
      <c r="D3" t="s" s="6">
        <v>47</v>
      </c>
      <c r="E3" t="s" s="6">
        <v>48</v>
      </c>
      <c r="F3" t="s" s="6">
        <v>49</v>
      </c>
      <c r="G3" t="s" s="6">
        <v>50</v>
      </c>
      <c r="H3" t="s" s="6">
        <v>11</v>
      </c>
      <c r="I3" t="s" s="6">
        <v>26</v>
      </c>
      <c r="J3" t="s" s="6">
        <v>10</v>
      </c>
      <c r="K3" t="s" s="6">
        <v>51</v>
      </c>
      <c r="L3" t="s" s="6">
        <v>3</v>
      </c>
      <c r="M3" t="s" s="6">
        <v>35</v>
      </c>
      <c r="N3" t="s" s="6">
        <v>30</v>
      </c>
      <c r="O3" t="s" s="6">
        <v>35</v>
      </c>
      <c r="P3" s="5"/>
    </row>
    <row r="4" ht="20.25" customHeight="1">
      <c r="B4" s="27">
        <v>2015</v>
      </c>
      <c r="C4" s="28">
        <v>2166</v>
      </c>
      <c r="D4" s="30">
        <v>510</v>
      </c>
      <c r="E4" s="30">
        <v>-118</v>
      </c>
      <c r="F4" s="30"/>
      <c r="G4" s="30"/>
      <c r="H4" s="30"/>
      <c r="I4" s="30"/>
      <c r="J4" s="30">
        <v>-305</v>
      </c>
      <c r="K4" s="30">
        <f>D4+E4</f>
        <v>392</v>
      </c>
      <c r="L4" s="30"/>
      <c r="M4" s="30"/>
      <c r="N4" s="30">
        <f>-(J4-G4-F4)</f>
        <v>305</v>
      </c>
      <c r="O4" s="30"/>
      <c r="P4" s="30">
        <v>1</v>
      </c>
    </row>
    <row r="5" ht="20.05" customHeight="1">
      <c r="B5" s="32"/>
      <c r="C5" s="18">
        <v>2051</v>
      </c>
      <c r="D5" s="19">
        <v>-139</v>
      </c>
      <c r="E5" s="19">
        <v>-310</v>
      </c>
      <c r="F5" s="19"/>
      <c r="G5" s="19"/>
      <c r="H5" s="19"/>
      <c r="I5" s="19"/>
      <c r="J5" s="19">
        <v>260</v>
      </c>
      <c r="K5" s="19">
        <f>D5+E5</f>
        <v>-449</v>
      </c>
      <c r="L5" s="19"/>
      <c r="M5" s="19"/>
      <c r="N5" s="19">
        <f>-(J5-G5-F5)+N4</f>
        <v>45</v>
      </c>
      <c r="O5" s="19"/>
      <c r="P5" s="19">
        <f>1+P4</f>
        <v>2</v>
      </c>
    </row>
    <row r="6" ht="20.05" customHeight="1">
      <c r="B6" s="32"/>
      <c r="C6" s="18">
        <v>1739</v>
      </c>
      <c r="D6" s="19">
        <v>231</v>
      </c>
      <c r="E6" s="19">
        <v>-103</v>
      </c>
      <c r="F6" s="19"/>
      <c r="G6" s="19"/>
      <c r="H6" s="19"/>
      <c r="I6" s="19"/>
      <c r="J6" s="19">
        <v>-138</v>
      </c>
      <c r="K6" s="19">
        <f>D6+E6</f>
        <v>128</v>
      </c>
      <c r="L6" s="19"/>
      <c r="M6" s="19"/>
      <c r="N6" s="19">
        <f>-(J6-G6-F6)+N5</f>
        <v>183</v>
      </c>
      <c r="O6" s="19"/>
      <c r="P6" s="19">
        <f>1+P5</f>
        <v>3</v>
      </c>
    </row>
    <row r="7" ht="20.05" customHeight="1">
      <c r="B7" s="32"/>
      <c r="C7" s="18">
        <v>1862</v>
      </c>
      <c r="D7" s="19">
        <v>559</v>
      </c>
      <c r="E7" s="19">
        <v>-157</v>
      </c>
      <c r="F7" s="19"/>
      <c r="G7" s="19"/>
      <c r="H7" s="19"/>
      <c r="I7" s="19"/>
      <c r="J7" s="19">
        <v>-162</v>
      </c>
      <c r="K7" s="19">
        <f>D7+E7</f>
        <v>402</v>
      </c>
      <c r="L7" s="19"/>
      <c r="M7" s="19"/>
      <c r="N7" s="19">
        <f>-(J7-G7-F7)+N6</f>
        <v>345</v>
      </c>
      <c r="O7" s="19"/>
      <c r="P7" s="19">
        <f>1+P6</f>
        <v>4</v>
      </c>
    </row>
    <row r="8" ht="20.05" customHeight="1">
      <c r="B8" s="34">
        <v>2016</v>
      </c>
      <c r="C8" s="18">
        <v>1405</v>
      </c>
      <c r="D8" s="19">
        <v>482</v>
      </c>
      <c r="E8" s="19">
        <v>-118</v>
      </c>
      <c r="F8" s="19"/>
      <c r="G8" s="19"/>
      <c r="H8" s="19"/>
      <c r="I8" s="19"/>
      <c r="J8" s="19">
        <v>-277</v>
      </c>
      <c r="K8" s="19">
        <f>D8+E8</f>
        <v>364</v>
      </c>
      <c r="L8" s="19">
        <f>AVERAGE(K5:K8)</f>
        <v>111.25</v>
      </c>
      <c r="M8" s="19"/>
      <c r="N8" s="19">
        <f>-(J8-G8-F8)+N7</f>
        <v>622</v>
      </c>
      <c r="O8" s="19"/>
      <c r="P8" s="19">
        <f>1+P7</f>
        <v>5</v>
      </c>
    </row>
    <row r="9" ht="20.05" customHeight="1">
      <c r="B9" s="32"/>
      <c r="C9" s="18">
        <v>1357</v>
      </c>
      <c r="D9" s="19">
        <v>-33</v>
      </c>
      <c r="E9" s="19">
        <v>-148</v>
      </c>
      <c r="F9" s="19"/>
      <c r="G9" s="19"/>
      <c r="H9" s="19"/>
      <c r="I9" s="19"/>
      <c r="J9" s="19">
        <v>49</v>
      </c>
      <c r="K9" s="19">
        <f>D9+E9</f>
        <v>-181</v>
      </c>
      <c r="L9" s="19">
        <f>AVERAGE(K6:K9)</f>
        <v>178.25</v>
      </c>
      <c r="M9" s="19"/>
      <c r="N9" s="19">
        <f>-(J9-G9-F9)+N8</f>
        <v>573</v>
      </c>
      <c r="O9" s="19"/>
      <c r="P9" s="19">
        <f>1+P8</f>
        <v>6</v>
      </c>
    </row>
    <row r="10" ht="20.05" customHeight="1">
      <c r="B10" s="32"/>
      <c r="C10" s="18">
        <v>1767</v>
      </c>
      <c r="D10" s="19">
        <v>613</v>
      </c>
      <c r="E10" s="19">
        <v>-222</v>
      </c>
      <c r="F10" s="19"/>
      <c r="G10" s="19"/>
      <c r="H10" s="19"/>
      <c r="I10" s="19"/>
      <c r="J10" s="19">
        <v>-356</v>
      </c>
      <c r="K10" s="19">
        <f>D10+E10</f>
        <v>391</v>
      </c>
      <c r="L10" s="19">
        <f>AVERAGE(K7:K10)</f>
        <v>244</v>
      </c>
      <c r="M10" s="19"/>
      <c r="N10" s="19">
        <f>-(J10-G10-F10)+N9</f>
        <v>929</v>
      </c>
      <c r="O10" s="19"/>
      <c r="P10" s="19">
        <f>1+P9</f>
        <v>7</v>
      </c>
    </row>
    <row r="11" ht="20.05" customHeight="1">
      <c r="B11" s="32"/>
      <c r="C11" s="18">
        <v>2060</v>
      </c>
      <c r="D11" s="19">
        <v>-90</v>
      </c>
      <c r="E11" s="19">
        <v>-60</v>
      </c>
      <c r="F11" s="19"/>
      <c r="G11" s="19"/>
      <c r="H11" s="19"/>
      <c r="I11" s="19"/>
      <c r="J11" s="19">
        <v>234</v>
      </c>
      <c r="K11" s="19">
        <f>D11+E11</f>
        <v>-150</v>
      </c>
      <c r="L11" s="19">
        <f>AVERAGE(K8:K11)</f>
        <v>106</v>
      </c>
      <c r="M11" s="19"/>
      <c r="N11" s="19">
        <f>-(J11-G11-F11)+N10</f>
        <v>695</v>
      </c>
      <c r="O11" s="19"/>
      <c r="P11" s="19">
        <f>1+P10</f>
        <v>8</v>
      </c>
    </row>
    <row r="12" ht="20.05" customHeight="1">
      <c r="B12" s="34">
        <v>2017</v>
      </c>
      <c r="C12" s="18">
        <v>2028</v>
      </c>
      <c r="D12" s="19">
        <v>-257</v>
      </c>
      <c r="E12" s="19">
        <v>-142</v>
      </c>
      <c r="F12" s="19"/>
      <c r="G12" s="19"/>
      <c r="H12" s="19"/>
      <c r="I12" s="19"/>
      <c r="J12" s="19">
        <v>143</v>
      </c>
      <c r="K12" s="19">
        <f>D12+E12</f>
        <v>-399</v>
      </c>
      <c r="L12" s="19">
        <f>AVERAGE(K9:K12)</f>
        <v>-84.75</v>
      </c>
      <c r="M12" s="19"/>
      <c r="N12" s="19">
        <f>-(J12-G12-F12)+N11</f>
        <v>552</v>
      </c>
      <c r="O12" s="19"/>
      <c r="P12" s="19">
        <f>1+P11</f>
        <v>9</v>
      </c>
    </row>
    <row r="13" ht="20.05" customHeight="1">
      <c r="B13" s="32"/>
      <c r="C13" s="18">
        <v>2273</v>
      </c>
      <c r="D13" s="19">
        <v>-171</v>
      </c>
      <c r="E13" s="19">
        <v>-163</v>
      </c>
      <c r="F13" s="19"/>
      <c r="G13" s="19"/>
      <c r="H13" s="19"/>
      <c r="I13" s="19"/>
      <c r="J13" s="19">
        <v>488</v>
      </c>
      <c r="K13" s="19">
        <f>D13+E13</f>
        <v>-334</v>
      </c>
      <c r="L13" s="19">
        <f>AVERAGE(K10:K13)</f>
        <v>-123</v>
      </c>
      <c r="M13" s="19"/>
      <c r="N13" s="19">
        <f>-(J13-G13-F13)+N12</f>
        <v>64</v>
      </c>
      <c r="O13" s="19"/>
      <c r="P13" s="19">
        <f>1+P12</f>
        <v>10</v>
      </c>
    </row>
    <row r="14" ht="20.05" customHeight="1">
      <c r="B14" s="32"/>
      <c r="C14" s="18">
        <v>2123</v>
      </c>
      <c r="D14" s="19">
        <v>118</v>
      </c>
      <c r="E14" s="19">
        <v>-235</v>
      </c>
      <c r="F14" s="19"/>
      <c r="G14" s="19"/>
      <c r="H14" s="19"/>
      <c r="I14" s="19"/>
      <c r="J14" s="19">
        <v>1294</v>
      </c>
      <c r="K14" s="19">
        <f>D14+E14</f>
        <v>-117</v>
      </c>
      <c r="L14" s="19">
        <f>AVERAGE(K11:K14)</f>
        <v>-250</v>
      </c>
      <c r="M14" s="19"/>
      <c r="N14" s="19">
        <f>-(J14-G14-F14)+N13</f>
        <v>-1230</v>
      </c>
      <c r="O14" s="19"/>
      <c r="P14" s="19">
        <f>1+P13</f>
        <v>11</v>
      </c>
    </row>
    <row r="15" ht="20.05" customHeight="1">
      <c r="B15" s="32"/>
      <c r="C15" s="18">
        <v>2134</v>
      </c>
      <c r="D15" s="19">
        <v>-42</v>
      </c>
      <c r="E15" s="19">
        <v>-266</v>
      </c>
      <c r="F15" s="19"/>
      <c r="G15" s="19"/>
      <c r="H15" s="19"/>
      <c r="I15" s="19"/>
      <c r="J15" s="19">
        <v>33</v>
      </c>
      <c r="K15" s="19">
        <f>D15+E15</f>
        <v>-308</v>
      </c>
      <c r="L15" s="19">
        <f>AVERAGE(K12:K15)</f>
        <v>-289.5</v>
      </c>
      <c r="M15" s="19"/>
      <c r="N15" s="19">
        <f>-(J15-G15-F15)+N14</f>
        <v>-1263</v>
      </c>
      <c r="O15" s="19"/>
      <c r="P15" s="19">
        <f>1+P14</f>
        <v>12</v>
      </c>
    </row>
    <row r="16" ht="20.05" customHeight="1">
      <c r="B16" s="34">
        <v>2018</v>
      </c>
      <c r="C16" s="18">
        <v>2667</v>
      </c>
      <c r="D16" s="19">
        <v>577</v>
      </c>
      <c r="E16" s="19">
        <v>-282</v>
      </c>
      <c r="F16" s="19"/>
      <c r="G16" s="19"/>
      <c r="H16" s="19"/>
      <c r="I16" s="19"/>
      <c r="J16" s="19">
        <v>-420</v>
      </c>
      <c r="K16" s="19">
        <f>D16+E16</f>
        <v>295</v>
      </c>
      <c r="L16" s="19">
        <f>AVERAGE(K13:K16)</f>
        <v>-116</v>
      </c>
      <c r="M16" s="19"/>
      <c r="N16" s="19">
        <f>-(J16-G16-F16)+N15</f>
        <v>-843</v>
      </c>
      <c r="O16" s="19"/>
      <c r="P16" s="19">
        <f>1+P15</f>
        <v>13</v>
      </c>
    </row>
    <row r="17" ht="20.05" customHeight="1">
      <c r="B17" s="32"/>
      <c r="C17" s="18">
        <v>1952</v>
      </c>
      <c r="D17" s="19">
        <v>-936</v>
      </c>
      <c r="E17" s="19">
        <v>-219</v>
      </c>
      <c r="F17" s="19"/>
      <c r="G17" s="19"/>
      <c r="H17" s="19"/>
      <c r="I17" s="19"/>
      <c r="J17" s="19">
        <v>927</v>
      </c>
      <c r="K17" s="19">
        <f>D17+E17</f>
        <v>-1155</v>
      </c>
      <c r="L17" s="19">
        <f>AVERAGE(K14:K17)</f>
        <v>-321.25</v>
      </c>
      <c r="M17" s="19"/>
      <c r="N17" s="19">
        <f>-(J17-G17-F17)+N16</f>
        <v>-1770</v>
      </c>
      <c r="O17" s="19"/>
      <c r="P17" s="19">
        <f>1+P16</f>
        <v>14</v>
      </c>
    </row>
    <row r="18" ht="20.05" customHeight="1">
      <c r="B18" s="32"/>
      <c r="C18" s="18">
        <v>2276</v>
      </c>
      <c r="D18" s="19">
        <v>-667</v>
      </c>
      <c r="E18" s="19">
        <v>-306</v>
      </c>
      <c r="F18" s="19"/>
      <c r="G18" s="19"/>
      <c r="H18" s="19"/>
      <c r="I18" s="19"/>
      <c r="J18" s="19">
        <v>732</v>
      </c>
      <c r="K18" s="19">
        <f>D18+E18</f>
        <v>-973</v>
      </c>
      <c r="L18" s="19">
        <f>AVERAGE(K15:K18)</f>
        <v>-535.25</v>
      </c>
      <c r="M18" s="19"/>
      <c r="N18" s="19">
        <f>-(J18-G18-F18)+N17</f>
        <v>-2502</v>
      </c>
      <c r="O18" s="19"/>
      <c r="P18" s="19">
        <f>1+P17</f>
        <v>15</v>
      </c>
    </row>
    <row r="19" ht="20.05" customHeight="1">
      <c r="B19" s="32"/>
      <c r="C19" s="18">
        <v>3658</v>
      </c>
      <c r="D19" s="19">
        <v>-718</v>
      </c>
      <c r="E19" s="19">
        <v>-447</v>
      </c>
      <c r="F19" s="19"/>
      <c r="G19" s="19"/>
      <c r="H19" s="19"/>
      <c r="I19" s="19"/>
      <c r="J19" s="19">
        <v>1165</v>
      </c>
      <c r="K19" s="19">
        <f>D19+E19</f>
        <v>-1165</v>
      </c>
      <c r="L19" s="19">
        <f>AVERAGE(K16:K19)</f>
        <v>-749.5</v>
      </c>
      <c r="M19" s="19"/>
      <c r="N19" s="19">
        <f>-(J19-G19-F19)+N18</f>
        <v>-3667</v>
      </c>
      <c r="O19" s="19"/>
      <c r="P19" s="19">
        <f>1+P18</f>
        <v>16</v>
      </c>
    </row>
    <row r="20" ht="20.05" customHeight="1">
      <c r="B20" s="34">
        <v>2019</v>
      </c>
      <c r="C20" s="18">
        <v>4057</v>
      </c>
      <c r="D20" s="19">
        <v>-1751</v>
      </c>
      <c r="E20" s="19">
        <v>-405</v>
      </c>
      <c r="F20" s="19"/>
      <c r="G20" s="19"/>
      <c r="H20" s="19"/>
      <c r="I20" s="19"/>
      <c r="J20" s="19">
        <v>1966.3</v>
      </c>
      <c r="K20" s="19">
        <f>D20+E20</f>
        <v>-2156</v>
      </c>
      <c r="L20" s="19">
        <f>AVERAGE(K17:K20)</f>
        <v>-1362.25</v>
      </c>
      <c r="M20" s="19"/>
      <c r="N20" s="19">
        <f>-(J20-G20-F20)+N19</f>
        <v>-5633.3</v>
      </c>
      <c r="O20" s="19"/>
      <c r="P20" s="19">
        <f>1+P19</f>
        <v>17</v>
      </c>
    </row>
    <row r="21" ht="20.05" customHeight="1">
      <c r="B21" s="32"/>
      <c r="C21" s="18">
        <v>4959</v>
      </c>
      <c r="D21" s="19">
        <v>-1773</v>
      </c>
      <c r="E21" s="19">
        <v>-393</v>
      </c>
      <c r="F21" s="19"/>
      <c r="G21" s="19"/>
      <c r="H21" s="19"/>
      <c r="I21" s="19"/>
      <c r="J21" s="19">
        <v>2248.7</v>
      </c>
      <c r="K21" s="19">
        <f>D21+E21</f>
        <v>-2166</v>
      </c>
      <c r="L21" s="19">
        <f>AVERAGE(K18:K21)</f>
        <v>-1615</v>
      </c>
      <c r="M21" s="19"/>
      <c r="N21" s="19">
        <f>-(J21-G21-F21)+N20</f>
        <v>-7882</v>
      </c>
      <c r="O21" s="19"/>
      <c r="P21" s="19">
        <f>1+P20</f>
        <v>18</v>
      </c>
    </row>
    <row r="22" ht="20.05" customHeight="1">
      <c r="B22" s="32"/>
      <c r="C22" s="18">
        <v>5493</v>
      </c>
      <c r="D22" s="19">
        <v>39</v>
      </c>
      <c r="E22" s="19">
        <v>-207</v>
      </c>
      <c r="F22" s="19"/>
      <c r="G22" s="19"/>
      <c r="H22" s="19"/>
      <c r="I22" s="19"/>
      <c r="J22" s="19">
        <v>917</v>
      </c>
      <c r="K22" s="19">
        <f>D22+E22</f>
        <v>-168</v>
      </c>
      <c r="L22" s="19">
        <f>AVERAGE(K19:K22)</f>
        <v>-1413.75</v>
      </c>
      <c r="M22" s="19"/>
      <c r="N22" s="19">
        <f>-(J22-G22-F22)+N21</f>
        <v>-8799</v>
      </c>
      <c r="O22" s="19"/>
      <c r="P22" s="19">
        <f>1+P21</f>
        <v>19</v>
      </c>
    </row>
    <row r="23" ht="20.05" customHeight="1">
      <c r="B23" s="32"/>
      <c r="C23" s="18">
        <v>5037.5</v>
      </c>
      <c r="D23" s="19">
        <v>623</v>
      </c>
      <c r="E23" s="19">
        <v>-502</v>
      </c>
      <c r="F23" s="19"/>
      <c r="G23" s="19"/>
      <c r="H23" s="19"/>
      <c r="I23" s="19"/>
      <c r="J23" s="19">
        <v>86.90000000000001</v>
      </c>
      <c r="K23" s="19">
        <f>D23+E23</f>
        <v>121</v>
      </c>
      <c r="L23" s="19">
        <f>AVERAGE(K20:K23)</f>
        <v>-1092.25</v>
      </c>
      <c r="M23" s="19"/>
      <c r="N23" s="19">
        <f>-(J23-G23-F23)+N22</f>
        <v>-8885.9</v>
      </c>
      <c r="O23" s="19"/>
      <c r="P23" s="19">
        <f>1+P22</f>
        <v>20</v>
      </c>
    </row>
    <row r="24" ht="20.05" customHeight="1">
      <c r="B24" s="34">
        <v>2020</v>
      </c>
      <c r="C24" s="18">
        <v>4797.5</v>
      </c>
      <c r="D24" s="19">
        <v>1135.9</v>
      </c>
      <c r="E24" s="19">
        <v>-244</v>
      </c>
      <c r="F24" s="19"/>
      <c r="G24" s="19"/>
      <c r="H24" s="19"/>
      <c r="I24" s="19"/>
      <c r="J24" s="19">
        <v>-1621</v>
      </c>
      <c r="K24" s="19">
        <f>D24+E24</f>
        <v>891.9</v>
      </c>
      <c r="L24" s="19">
        <f>AVERAGE(K21:K24)</f>
        <v>-330.275</v>
      </c>
      <c r="M24" s="19"/>
      <c r="N24" s="19">
        <f>-(J24-G24-F24)+N23</f>
        <v>-7264.9</v>
      </c>
      <c r="O24" s="19"/>
      <c r="P24" s="19">
        <f>1+P23</f>
        <v>21</v>
      </c>
    </row>
    <row r="25" ht="20.05" customHeight="1">
      <c r="B25" s="32"/>
      <c r="C25" s="18">
        <v>3441</v>
      </c>
      <c r="D25" s="19">
        <v>1671</v>
      </c>
      <c r="E25" s="19">
        <v>-378</v>
      </c>
      <c r="F25" s="19"/>
      <c r="G25" s="19"/>
      <c r="H25" s="19"/>
      <c r="I25" s="19"/>
      <c r="J25" s="19">
        <v>-1170</v>
      </c>
      <c r="K25" s="19">
        <f>D25+E25</f>
        <v>1293</v>
      </c>
      <c r="L25" s="19">
        <f>AVERAGE(K22:K25)</f>
        <v>534.475</v>
      </c>
      <c r="M25" s="19"/>
      <c r="N25" s="19">
        <f>-(J25-G25-F25)+N24</f>
        <v>-6094.9</v>
      </c>
      <c r="O25" s="19"/>
      <c r="P25" s="19">
        <f>1+P24</f>
        <v>22</v>
      </c>
    </row>
    <row r="26" ht="20.05" customHeight="1">
      <c r="B26" s="32"/>
      <c r="C26" s="18">
        <v>3811.4</v>
      </c>
      <c r="D26" s="19">
        <v>1526.3</v>
      </c>
      <c r="E26" s="19">
        <v>-241.9</v>
      </c>
      <c r="F26" s="19"/>
      <c r="G26" s="19"/>
      <c r="H26" s="19"/>
      <c r="I26" s="19"/>
      <c r="J26" s="19">
        <v>-1487</v>
      </c>
      <c r="K26" s="19">
        <f>D26+E26</f>
        <v>1284.4</v>
      </c>
      <c r="L26" s="19">
        <f>AVERAGE(K23:K26)</f>
        <v>897.575</v>
      </c>
      <c r="M26" s="19"/>
      <c r="N26" s="19">
        <f>-(J26-G26-F26)+N25</f>
        <v>-4607.9</v>
      </c>
      <c r="O26" s="19"/>
      <c r="P26" s="19">
        <f>1+P25</f>
        <v>23</v>
      </c>
    </row>
    <row r="27" ht="20.05" customHeight="1">
      <c r="B27" s="32"/>
      <c r="C27" s="18">
        <v>3372.6</v>
      </c>
      <c r="D27" s="19">
        <v>557</v>
      </c>
      <c r="E27" s="19">
        <v>-314</v>
      </c>
      <c r="F27" s="19">
        <v>-115</v>
      </c>
      <c r="G27" s="19">
        <v>-3.75</v>
      </c>
      <c r="H27" s="19"/>
      <c r="I27" s="19"/>
      <c r="J27" s="19">
        <v>-232</v>
      </c>
      <c r="K27" s="19">
        <f>F27+G27+D27+E27</f>
        <v>124.25</v>
      </c>
      <c r="L27" s="19">
        <f>AVERAGE(K24:K27)</f>
        <v>898.3875</v>
      </c>
      <c r="M27" s="19"/>
      <c r="N27" s="19">
        <f>-(J27-G27-F27)+N26</f>
        <v>-4494.65</v>
      </c>
      <c r="O27" s="19"/>
      <c r="P27" s="19">
        <f>1+P26</f>
        <v>24</v>
      </c>
    </row>
    <row r="28" ht="20.05" customHeight="1">
      <c r="B28" s="34">
        <v>2021</v>
      </c>
      <c r="C28" s="18">
        <v>2683</v>
      </c>
      <c r="D28" s="19">
        <v>972.9</v>
      </c>
      <c r="E28" s="19">
        <v>-147</v>
      </c>
      <c r="F28" s="19">
        <v>-98.56</v>
      </c>
      <c r="G28" s="19">
        <v>-4.5</v>
      </c>
      <c r="H28" s="19">
        <f>-923.5-G28</f>
        <v>-919</v>
      </c>
      <c r="I28" s="19"/>
      <c r="J28" s="19">
        <v>-923.5</v>
      </c>
      <c r="K28" s="19">
        <f>F28+G28+D28+E28</f>
        <v>722.84</v>
      </c>
      <c r="L28" s="19">
        <f>AVERAGE(K25:K28)</f>
        <v>856.1224999999999</v>
      </c>
      <c r="M28" s="19"/>
      <c r="N28" s="19">
        <f>-(J28-G28-F28)+N27</f>
        <v>-3674.21</v>
      </c>
      <c r="O28" s="19"/>
      <c r="P28" s="19">
        <f>1+P27</f>
        <v>25</v>
      </c>
    </row>
    <row r="29" ht="20.05" customHeight="1">
      <c r="B29" s="32"/>
      <c r="C29" s="18">
        <f>5633.2-C28</f>
        <v>2950.2</v>
      </c>
      <c r="D29" s="19">
        <f>2584.2-D28</f>
        <v>1611.3</v>
      </c>
      <c r="E29" s="19">
        <f>-305.3-E28</f>
        <v>-158.3</v>
      </c>
      <c r="F29" s="19">
        <f>-194.8-F28</f>
        <v>-96.23999999999999</v>
      </c>
      <c r="G29" s="19">
        <f>-19-G28</f>
        <v>-14.5</v>
      </c>
      <c r="H29" s="19">
        <f>-1804.9-H28-G29-G28-F29-F28</f>
        <v>-672.1</v>
      </c>
      <c r="I29" s="19"/>
      <c r="J29" s="19">
        <f>-1804.9-J28</f>
        <v>-881.4</v>
      </c>
      <c r="K29" s="19">
        <f>F29+G29+D29+E29</f>
        <v>1342.26</v>
      </c>
      <c r="L29" s="19">
        <f>AVERAGE(K26:K29)</f>
        <v>868.4375</v>
      </c>
      <c r="M29" s="19"/>
      <c r="N29" s="19">
        <f>-(J29-G29-F29)+N28</f>
        <v>-2903.55</v>
      </c>
      <c r="O29" s="19"/>
      <c r="P29" s="19">
        <f>1+P28</f>
        <v>26</v>
      </c>
    </row>
    <row r="30" ht="20.05" customHeight="1">
      <c r="B30" s="32"/>
      <c r="C30" s="18">
        <f>9045.7-SUM(C28:C29)</f>
        <v>3412.5</v>
      </c>
      <c r="D30" s="19">
        <f>3087.6-SUM(D28:D29)</f>
        <v>503.4</v>
      </c>
      <c r="E30" s="19">
        <f>-502.5-SUM(E28:E29)</f>
        <v>-197.2</v>
      </c>
      <c r="F30" s="19">
        <f>-272.8-SUM(F28:F29)</f>
        <v>-78</v>
      </c>
      <c r="G30" s="19">
        <f>-19-SUM(G28:G29)</f>
        <v>0</v>
      </c>
      <c r="H30" s="19">
        <f>-2297-H29-H28-G30-G29-G28-F30-F29-F28</f>
        <v>-414.1</v>
      </c>
      <c r="I30" s="19"/>
      <c r="J30" s="19">
        <f>-2297.1-SUM(J28:J29)</f>
        <v>-492.2</v>
      </c>
      <c r="K30" s="19">
        <f>F30+G30+D30+E30</f>
        <v>228.2</v>
      </c>
      <c r="L30" s="19">
        <f>AVERAGE(K27:K30)</f>
        <v>604.3875</v>
      </c>
      <c r="M30" s="19"/>
      <c r="N30" s="19">
        <f>-(J30-G30-F30)+N29</f>
        <v>-2489.35</v>
      </c>
      <c r="O30" s="19"/>
      <c r="P30" s="19">
        <f>1+P29</f>
        <v>27</v>
      </c>
    </row>
    <row r="31" ht="20.05" customHeight="1">
      <c r="B31" s="32"/>
      <c r="C31" s="18">
        <f>13898-C30-C29-C28</f>
        <v>4852.3</v>
      </c>
      <c r="D31" s="19">
        <f>4039-D30-D29-D28</f>
        <v>951.4</v>
      </c>
      <c r="E31" s="19">
        <f>-773-E30-E29-E28</f>
        <v>-270.5</v>
      </c>
      <c r="F31" s="19">
        <f>-326-F30-F29-F28</f>
        <v>-53.2</v>
      </c>
      <c r="G31" s="19">
        <f>-14.9-G30-G29-G28</f>
        <v>4.1</v>
      </c>
      <c r="H31" s="19">
        <f>-2212-H30-H29-H28</f>
        <v>-206.8</v>
      </c>
      <c r="I31" s="19"/>
      <c r="J31" s="19">
        <f>-2296-SUM(J29:J30)</f>
        <v>-922.4</v>
      </c>
      <c r="K31" s="19">
        <f>F31+G31+D31+E31</f>
        <v>631.8</v>
      </c>
      <c r="L31" s="19">
        <f>AVERAGE(K28:K31)</f>
        <v>731.275</v>
      </c>
      <c r="M31" s="24"/>
      <c r="N31" s="19">
        <f>-(J31-G31-F31)+N30</f>
        <v>-1616.05</v>
      </c>
      <c r="O31" s="24"/>
      <c r="P31" s="19">
        <f>1+P30</f>
        <v>28</v>
      </c>
    </row>
    <row r="32" ht="20.05" customHeight="1">
      <c r="B32" s="34">
        <v>2022</v>
      </c>
      <c r="C32" s="18">
        <v>4463</v>
      </c>
      <c r="D32" s="19">
        <v>2051.3</v>
      </c>
      <c r="E32" s="19">
        <v>-211</v>
      </c>
      <c r="F32" s="19">
        <v>-43</v>
      </c>
      <c r="G32" s="19">
        <v>-7</v>
      </c>
      <c r="H32" s="19">
        <f>432-1399+4</f>
        <v>-963</v>
      </c>
      <c r="I32" s="19"/>
      <c r="J32" s="19">
        <v>-1509.7</v>
      </c>
      <c r="K32" s="19">
        <f>F32+G32+D32+E32</f>
        <v>1790.3</v>
      </c>
      <c r="L32" s="19">
        <f>AVERAGE(K29:K32)</f>
        <v>998.14</v>
      </c>
      <c r="M32" s="19">
        <v>877.9224166</v>
      </c>
      <c r="N32" s="19">
        <f>-(J32-G32-F32)+N31</f>
        <v>-156.35</v>
      </c>
      <c r="O32" s="19">
        <v>260.16359491</v>
      </c>
      <c r="P32" s="19">
        <f>1+P31</f>
        <v>29</v>
      </c>
    </row>
    <row r="33" ht="20.05" customHeight="1">
      <c r="B33" s="32"/>
      <c r="C33" s="18"/>
      <c r="D33" s="19"/>
      <c r="E33" s="19"/>
      <c r="F33" s="19"/>
      <c r="G33" s="19"/>
      <c r="H33" s="19"/>
      <c r="I33" s="19"/>
      <c r="J33" s="19"/>
      <c r="K33" s="19"/>
      <c r="L33" s="24"/>
      <c r="M33" s="19">
        <f>SUM('Model '!F9:F10)</f>
        <v>690.040315175</v>
      </c>
      <c r="N33" s="24"/>
      <c r="O33" s="19">
        <f>'Model '!F33</f>
        <v>2040.2148018025</v>
      </c>
      <c r="P33" s="19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2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28125" style="36" customWidth="1"/>
    <col min="2" max="5" width="10.6484" style="36" customWidth="1"/>
    <col min="6" max="6" hidden="1" width="16.3333" style="36" customWidth="1"/>
    <col min="7" max="11" width="10.6484" style="36" customWidth="1"/>
    <col min="12" max="16384" width="16.3516" style="36" customWidth="1"/>
  </cols>
  <sheetData>
    <row r="1" ht="27.65" customHeight="1">
      <c r="A1" t="s" s="2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A2" t="s" s="6">
        <v>1</v>
      </c>
      <c r="B2" t="s" s="6">
        <v>52</v>
      </c>
      <c r="C2" t="s" s="6">
        <v>53</v>
      </c>
      <c r="D2" t="s" s="6">
        <v>23</v>
      </c>
      <c r="E2" t="s" s="6">
        <v>24</v>
      </c>
      <c r="F2" t="s" s="37">
        <v>54</v>
      </c>
      <c r="G2" t="s" s="6">
        <v>11</v>
      </c>
      <c r="H2" t="s" s="6">
        <v>26</v>
      </c>
      <c r="I2" t="s" s="6">
        <v>55</v>
      </c>
      <c r="J2" t="s" s="6">
        <v>28</v>
      </c>
      <c r="K2" t="s" s="6">
        <v>35</v>
      </c>
    </row>
    <row r="3" ht="20.25" customHeight="1">
      <c r="A3" s="27">
        <v>2016</v>
      </c>
      <c r="B3" s="28">
        <v>577</v>
      </c>
      <c r="C3" s="30">
        <v>8761</v>
      </c>
      <c r="D3" s="30">
        <f>C3-B3</f>
        <v>8184</v>
      </c>
      <c r="E3" s="30">
        <v>3785</v>
      </c>
      <c r="F3" s="38">
        <f>B3+D3+#REF!</f>
      </c>
      <c r="G3" s="30">
        <v>3586</v>
      </c>
      <c r="H3" s="30">
        <v>5175</v>
      </c>
      <c r="I3" s="30">
        <f>G3+H3-B3-D3</f>
        <v>0</v>
      </c>
      <c r="J3" s="30">
        <f>B3-G3</f>
        <v>-3009</v>
      </c>
      <c r="K3" s="30"/>
    </row>
    <row r="4" ht="20.05" customHeight="1">
      <c r="A4" s="32"/>
      <c r="B4" s="18">
        <v>444</v>
      </c>
      <c r="C4" s="19">
        <v>9028</v>
      </c>
      <c r="D4" s="19">
        <f>C4-B4</f>
        <v>8584</v>
      </c>
      <c r="E4" s="19">
        <v>3906</v>
      </c>
      <c r="F4" s="15">
        <f>B4+D4+#REF!</f>
      </c>
      <c r="G4" s="19">
        <v>3843</v>
      </c>
      <c r="H4" s="19">
        <v>5185</v>
      </c>
      <c r="I4" s="19">
        <f>G4+H4-B4-D4</f>
        <v>0</v>
      </c>
      <c r="J4" s="19">
        <f>B4-G4</f>
        <v>-3399</v>
      </c>
      <c r="K4" s="19"/>
    </row>
    <row r="5" ht="20.05" customHeight="1">
      <c r="A5" s="32"/>
      <c r="B5" s="18">
        <v>475</v>
      </c>
      <c r="C5" s="19">
        <v>9242</v>
      </c>
      <c r="D5" s="19">
        <f>C5-B5</f>
        <v>8767</v>
      </c>
      <c r="E5" s="19">
        <v>4016</v>
      </c>
      <c r="F5" s="15">
        <f>B5+D5+#REF!</f>
      </c>
      <c r="G5" s="19">
        <v>3978</v>
      </c>
      <c r="H5" s="19">
        <v>5264</v>
      </c>
      <c r="I5" s="19">
        <f>G5+H5-B5-D5</f>
        <v>0</v>
      </c>
      <c r="J5" s="19">
        <f>B5-G5</f>
        <v>-3503</v>
      </c>
      <c r="K5" s="19"/>
    </row>
    <row r="6" ht="20.05" customHeight="1">
      <c r="A6" s="32"/>
      <c r="B6" s="18">
        <v>564</v>
      </c>
      <c r="C6" s="19">
        <v>9549</v>
      </c>
      <c r="D6" s="19">
        <f>C6-B6</f>
        <v>8985</v>
      </c>
      <c r="E6" s="19">
        <v>4142</v>
      </c>
      <c r="F6" s="15">
        <f>B6+D6+#REF!</f>
      </c>
      <c r="G6" s="19">
        <v>3895</v>
      </c>
      <c r="H6" s="19">
        <v>5654</v>
      </c>
      <c r="I6" s="19">
        <f>G6+H6-B6-D6</f>
        <v>0</v>
      </c>
      <c r="J6" s="19">
        <f>B6-G6</f>
        <v>-3331</v>
      </c>
      <c r="K6" s="19"/>
    </row>
    <row r="7" ht="20.05" customHeight="1">
      <c r="A7" s="34">
        <v>2017</v>
      </c>
      <c r="B7" s="18">
        <v>303</v>
      </c>
      <c r="C7" s="19">
        <v>10009</v>
      </c>
      <c r="D7" s="19">
        <f>C7-B7</f>
        <v>9706</v>
      </c>
      <c r="E7" s="19">
        <v>4257</v>
      </c>
      <c r="F7" s="15">
        <f>B7+D7+#REF!</f>
      </c>
      <c r="G7" s="19">
        <v>4324</v>
      </c>
      <c r="H7" s="19">
        <v>5685</v>
      </c>
      <c r="I7" s="19">
        <f>G7+H7-B7-D7</f>
        <v>0</v>
      </c>
      <c r="J7" s="19">
        <f>B7-G7</f>
        <v>-4021</v>
      </c>
      <c r="K7" s="19"/>
    </row>
    <row r="8" ht="20.05" customHeight="1">
      <c r="A8" s="32"/>
      <c r="B8" s="18">
        <v>455</v>
      </c>
      <c r="C8" s="19">
        <v>10141</v>
      </c>
      <c r="D8" s="19">
        <f>C8-B8</f>
        <v>9686</v>
      </c>
      <c r="E8" s="19">
        <v>4370</v>
      </c>
      <c r="F8" s="15">
        <f>B8+D8+#REF!</f>
      </c>
      <c r="G8" s="19">
        <v>4457</v>
      </c>
      <c r="H8" s="19">
        <v>5684</v>
      </c>
      <c r="I8" s="19">
        <f>G8+H8-B8-D8</f>
        <v>0</v>
      </c>
      <c r="J8" s="19">
        <f>B8-G8</f>
        <v>-4002</v>
      </c>
      <c r="K8" s="19"/>
    </row>
    <row r="9" ht="20.05" customHeight="1">
      <c r="A9" s="32"/>
      <c r="B9" s="18">
        <v>1641</v>
      </c>
      <c r="C9" s="19">
        <v>11639</v>
      </c>
      <c r="D9" s="19">
        <f>C9-B9</f>
        <v>9998</v>
      </c>
      <c r="E9" s="19">
        <v>4398</v>
      </c>
      <c r="F9" s="15">
        <f>B9+D9+#REF!</f>
      </c>
      <c r="G9" s="19">
        <v>5751</v>
      </c>
      <c r="H9" s="19">
        <v>5888</v>
      </c>
      <c r="I9" s="19">
        <f>G9+H9-B9-D9</f>
        <v>0</v>
      </c>
      <c r="J9" s="19">
        <f>B9-G9</f>
        <v>-4110</v>
      </c>
      <c r="K9" s="19"/>
    </row>
    <row r="10" ht="20.05" customHeight="1">
      <c r="A10" s="32"/>
      <c r="B10" s="18">
        <v>1357</v>
      </c>
      <c r="C10" s="19">
        <v>11876</v>
      </c>
      <c r="D10" s="19">
        <f>C10-B10</f>
        <v>10519</v>
      </c>
      <c r="E10" s="19">
        <v>4341</v>
      </c>
      <c r="F10" s="15">
        <f>B10+D10+#REF!</f>
      </c>
      <c r="G10" s="19">
        <v>5815</v>
      </c>
      <c r="H10" s="19">
        <v>6061</v>
      </c>
      <c r="I10" s="19">
        <f>G10+H10-B10-D10</f>
        <v>0</v>
      </c>
      <c r="J10" s="19">
        <f>B10-G10</f>
        <v>-4458</v>
      </c>
      <c r="K10" s="19"/>
    </row>
    <row r="11" ht="20.05" customHeight="1">
      <c r="A11" s="34">
        <v>2018</v>
      </c>
      <c r="B11" s="18">
        <v>1234</v>
      </c>
      <c r="C11" s="19">
        <v>11478</v>
      </c>
      <c r="D11" s="19">
        <f>C11-B11</f>
        <v>10244</v>
      </c>
      <c r="E11" s="19">
        <v>4471</v>
      </c>
      <c r="F11" s="15">
        <f>B11+D11+#REF!</f>
      </c>
      <c r="G11" s="19">
        <v>5366</v>
      </c>
      <c r="H11" s="19">
        <v>6112</v>
      </c>
      <c r="I11" s="19">
        <f>G11+H11-B11-D11</f>
        <v>0</v>
      </c>
      <c r="J11" s="19">
        <f>B11-G11</f>
        <v>-4132</v>
      </c>
      <c r="K11" s="19"/>
    </row>
    <row r="12" ht="20.05" customHeight="1">
      <c r="A12" s="32"/>
      <c r="B12" s="18">
        <v>1020</v>
      </c>
      <c r="C12" s="19">
        <v>12460</v>
      </c>
      <c r="D12" s="19">
        <f>C12-B12</f>
        <v>11440</v>
      </c>
      <c r="E12" s="19">
        <v>4610</v>
      </c>
      <c r="F12" s="15">
        <f>B12+D12+#REF!</f>
      </c>
      <c r="G12" s="19">
        <v>6335</v>
      </c>
      <c r="H12" s="19">
        <v>6125</v>
      </c>
      <c r="I12" s="19">
        <f>G12+H12-B12-D12</f>
        <v>0</v>
      </c>
      <c r="J12" s="19">
        <f>B12-G12</f>
        <v>-5315</v>
      </c>
      <c r="K12" s="19"/>
    </row>
    <row r="13" ht="20.05" customHeight="1">
      <c r="A13" s="32"/>
      <c r="B13" s="18">
        <v>779</v>
      </c>
      <c r="C13" s="19">
        <v>13550</v>
      </c>
      <c r="D13" s="19">
        <f>C13-B13</f>
        <v>12771</v>
      </c>
      <c r="E13" s="19">
        <v>4739</v>
      </c>
      <c r="F13" s="15">
        <f>B13+D13+#REF!</f>
      </c>
      <c r="G13" s="19">
        <v>7257</v>
      </c>
      <c r="H13" s="19">
        <v>6293</v>
      </c>
      <c r="I13" s="19">
        <f>G13+H13-B13-D13</f>
        <v>0</v>
      </c>
      <c r="J13" s="19">
        <f>B13-G13</f>
        <v>-6478</v>
      </c>
      <c r="K13" s="19"/>
    </row>
    <row r="14" ht="20.05" customHeight="1">
      <c r="A14" s="32"/>
      <c r="B14" s="18">
        <v>784.6</v>
      </c>
      <c r="C14" s="19">
        <v>15220.7</v>
      </c>
      <c r="D14" s="19">
        <f>C14-B14</f>
        <v>14436.1</v>
      </c>
      <c r="E14" s="19">
        <f>4873+292</f>
        <v>5165</v>
      </c>
      <c r="F14" s="15">
        <f>B14+D14+#REF!</f>
      </c>
      <c r="G14" s="19">
        <v>9072</v>
      </c>
      <c r="H14" s="19">
        <v>6148</v>
      </c>
      <c r="I14" s="19">
        <f>G14+H14-B14-D14</f>
        <v>-0.7</v>
      </c>
      <c r="J14" s="19">
        <f>B14-G14</f>
        <v>-8287.4</v>
      </c>
      <c r="K14" s="19"/>
    </row>
    <row r="15" ht="20.05" customHeight="1">
      <c r="A15" s="34">
        <v>2019</v>
      </c>
      <c r="B15" s="18">
        <v>595.4</v>
      </c>
      <c r="C15" s="19">
        <v>17930</v>
      </c>
      <c r="D15" s="19">
        <f>C15-B15</f>
        <v>17334.6</v>
      </c>
      <c r="E15" s="19">
        <v>5030</v>
      </c>
      <c r="F15" s="15">
        <f>B15+D15+#REF!</f>
      </c>
      <c r="G15" s="19">
        <v>11019.7</v>
      </c>
      <c r="H15" s="19">
        <v>6910.3</v>
      </c>
      <c r="I15" s="19">
        <f>G15+H15-B15-D15</f>
        <v>0</v>
      </c>
      <c r="J15" s="19">
        <f>B15-G15</f>
        <v>-10424.3</v>
      </c>
      <c r="K15" s="19"/>
    </row>
    <row r="16" ht="20.05" customHeight="1">
      <c r="A16" s="32"/>
      <c r="B16" s="18">
        <v>609</v>
      </c>
      <c r="C16" s="19">
        <v>20651</v>
      </c>
      <c r="D16" s="19">
        <f>C16-B16</f>
        <v>20042</v>
      </c>
      <c r="E16" s="19">
        <v>5213</v>
      </c>
      <c r="F16" s="15">
        <f>B16+D16+#REF!</f>
      </c>
      <c r="G16" s="19">
        <v>14186</v>
      </c>
      <c r="H16" s="19">
        <v>6464</v>
      </c>
      <c r="I16" s="19">
        <f>G16+H16-B16-D16</f>
        <v>-1</v>
      </c>
      <c r="J16" s="19">
        <f>B16-G16</f>
        <v>-13577</v>
      </c>
      <c r="K16" s="19"/>
    </row>
    <row r="17" ht="20.05" customHeight="1">
      <c r="A17" s="32"/>
      <c r="B17" s="18">
        <v>1424</v>
      </c>
      <c r="C17" s="19">
        <v>20771</v>
      </c>
      <c r="D17" s="19">
        <f>C17-B17</f>
        <v>19347</v>
      </c>
      <c r="E17" s="19">
        <v>5422</v>
      </c>
      <c r="F17" s="15">
        <f>B17+D17+#REF!</f>
      </c>
      <c r="G17" s="19">
        <v>14707</v>
      </c>
      <c r="H17" s="19">
        <v>6064</v>
      </c>
      <c r="I17" s="19">
        <f>G17+H17-B17-D17</f>
        <v>0</v>
      </c>
      <c r="J17" s="19">
        <f>B17-G17</f>
        <v>-13283</v>
      </c>
      <c r="K17" s="19"/>
    </row>
    <row r="18" ht="20.05" customHeight="1">
      <c r="A18" s="32"/>
      <c r="B18" s="18">
        <v>1599.4</v>
      </c>
      <c r="C18" s="19">
        <v>20361.2</v>
      </c>
      <c r="D18" s="19">
        <f>C18-B18</f>
        <v>18761.8</v>
      </c>
      <c r="E18" s="19">
        <f>5536+321</f>
        <v>5857</v>
      </c>
      <c r="F18" s="15">
        <f>B18+D18+#REF!</f>
      </c>
      <c r="G18" s="19">
        <v>15103</v>
      </c>
      <c r="H18" s="19">
        <v>5258</v>
      </c>
      <c r="I18" s="19">
        <f>G18+H18-B18-D18</f>
        <v>-0.2</v>
      </c>
      <c r="J18" s="19">
        <f>B18-G18</f>
        <v>-13503.6</v>
      </c>
      <c r="K18" s="19"/>
    </row>
    <row r="19" ht="20.05" customHeight="1">
      <c r="A19" s="34">
        <v>2020</v>
      </c>
      <c r="B19" s="18">
        <v>934</v>
      </c>
      <c r="C19" s="19">
        <v>18769</v>
      </c>
      <c r="D19" s="19">
        <f>C19-B19</f>
        <v>17835</v>
      </c>
      <c r="E19" s="19">
        <f>5734+325</f>
        <v>6059</v>
      </c>
      <c r="F19" s="15">
        <f>B19+D19+#REF!</f>
      </c>
      <c r="G19" s="19">
        <v>13947</v>
      </c>
      <c r="H19" s="19">
        <v>4822</v>
      </c>
      <c r="I19" s="19">
        <f>G19+H19-B19-D19</f>
        <v>0</v>
      </c>
      <c r="J19" s="19">
        <f>B19-G19</f>
        <v>-13013</v>
      </c>
      <c r="K19" s="19"/>
    </row>
    <row r="20" ht="20.05" customHeight="1">
      <c r="A20" s="32"/>
      <c r="B20" s="18">
        <v>1002</v>
      </c>
      <c r="C20" s="19">
        <v>18396</v>
      </c>
      <c r="D20" s="19">
        <f>C20-B20</f>
        <v>17394</v>
      </c>
      <c r="E20" s="19">
        <v>5925</v>
      </c>
      <c r="F20" s="15">
        <f>B20+D20+#REF!</f>
      </c>
      <c r="G20" s="19">
        <v>13582</v>
      </c>
      <c r="H20" s="19">
        <v>4815</v>
      </c>
      <c r="I20" s="19">
        <f>G20+H20-B20-D20</f>
        <v>1</v>
      </c>
      <c r="J20" s="19">
        <f>B20-G20</f>
        <v>-12580</v>
      </c>
      <c r="K20" s="19"/>
    </row>
    <row r="21" ht="20.05" customHeight="1">
      <c r="A21" s="32"/>
      <c r="B21" s="18">
        <v>808</v>
      </c>
      <c r="C21" s="19">
        <v>16752</v>
      </c>
      <c r="D21" s="19">
        <f>C21-B21</f>
        <v>15944</v>
      </c>
      <c r="E21" s="19">
        <f>6058+334</f>
        <v>6392</v>
      </c>
      <c r="F21" s="15">
        <f>B21+D21+#REF!</f>
      </c>
      <c r="G21" s="19">
        <v>11823</v>
      </c>
      <c r="H21" s="19">
        <v>4929</v>
      </c>
      <c r="I21" s="19">
        <f>G21+H21-B21-D21</f>
        <v>0</v>
      </c>
      <c r="J21" s="19">
        <f>B21-G21</f>
        <v>-11015</v>
      </c>
      <c r="K21" s="19"/>
    </row>
    <row r="22" ht="20.05" customHeight="1">
      <c r="A22" s="32"/>
      <c r="B22" s="18">
        <v>807</v>
      </c>
      <c r="C22" s="19">
        <v>14518</v>
      </c>
      <c r="D22" s="19">
        <f>C22-B22</f>
        <v>13711</v>
      </c>
      <c r="E22" s="19">
        <f>E21+'Sales'!E27</f>
        <v>6611.9</v>
      </c>
      <c r="F22" s="15">
        <f>B22+D22+#REF!</f>
      </c>
      <c r="G22" s="19">
        <v>9578</v>
      </c>
      <c r="H22" s="19">
        <v>4940</v>
      </c>
      <c r="I22" s="19">
        <f>G22+H22-B22-D22</f>
        <v>0</v>
      </c>
      <c r="J22" s="19">
        <f>B22-G22</f>
        <v>-8771</v>
      </c>
      <c r="K22" s="19"/>
    </row>
    <row r="23" ht="20.05" customHeight="1">
      <c r="A23" s="34">
        <v>2021</v>
      </c>
      <c r="B23" s="18">
        <v>715</v>
      </c>
      <c r="C23" s="19">
        <v>13635</v>
      </c>
      <c r="D23" s="19">
        <f>C23-B23</f>
        <v>12920</v>
      </c>
      <c r="E23" s="19">
        <f>6432+57+345</f>
        <v>6834</v>
      </c>
      <c r="F23" s="15">
        <f>B23+D23+#REF!</f>
      </c>
      <c r="G23" s="19">
        <v>8587.700000000001</v>
      </c>
      <c r="H23" s="19">
        <v>5047</v>
      </c>
      <c r="I23" s="19">
        <f>G23+H23-B23-D23</f>
        <v>-0.3</v>
      </c>
      <c r="J23" s="19">
        <f>B23-G23</f>
        <v>-7872.7</v>
      </c>
      <c r="K23" s="19"/>
    </row>
    <row r="24" ht="20.05" customHeight="1">
      <c r="A24" s="32"/>
      <c r="B24" s="18">
        <v>1286</v>
      </c>
      <c r="C24" s="19">
        <v>13537</v>
      </c>
      <c r="D24" s="19">
        <f>C24-B24</f>
        <v>12251</v>
      </c>
      <c r="E24" s="19">
        <f>6620+57+345</f>
        <v>7022</v>
      </c>
      <c r="F24" s="15">
        <f>B24+D24+#REF!</f>
      </c>
      <c r="G24" s="19">
        <v>8285</v>
      </c>
      <c r="H24" s="19">
        <v>5252</v>
      </c>
      <c r="I24" s="19">
        <f>G24+H24-B24-D24</f>
        <v>0</v>
      </c>
      <c r="J24" s="19">
        <f>B24-G24</f>
        <v>-6999</v>
      </c>
      <c r="K24" s="19"/>
    </row>
    <row r="25" ht="20.05" customHeight="1">
      <c r="A25" s="32"/>
      <c r="B25" s="18">
        <v>1102</v>
      </c>
      <c r="C25" s="19">
        <v>13804</v>
      </c>
      <c r="D25" s="19">
        <f>C25-B25</f>
        <v>12702</v>
      </c>
      <c r="E25" s="19">
        <f>354+6662+57</f>
        <v>7073</v>
      </c>
      <c r="F25" s="15">
        <f>B25+D25+#REF!</f>
      </c>
      <c r="G25" s="19">
        <v>8215</v>
      </c>
      <c r="H25" s="19">
        <v>5589</v>
      </c>
      <c r="I25" s="19">
        <f>G25+H25-B25-D25</f>
        <v>0</v>
      </c>
      <c r="J25" s="19">
        <f>B25-G25</f>
        <v>-7113</v>
      </c>
      <c r="K25" s="19"/>
    </row>
    <row r="26" ht="20.05" customHeight="1">
      <c r="A26" s="32"/>
      <c r="B26" s="18">
        <v>1782</v>
      </c>
      <c r="C26" s="19">
        <v>14691</v>
      </c>
      <c r="D26" s="19">
        <f>C26-B26</f>
        <v>12909</v>
      </c>
      <c r="E26" s="19">
        <f>E25+'Sales'!E31</f>
        <v>7300.25</v>
      </c>
      <c r="F26" s="15">
        <f>B26+D26+#REF!</f>
      </c>
      <c r="G26" s="19">
        <v>8383</v>
      </c>
      <c r="H26" s="19">
        <f>C26-G26</f>
        <v>6308</v>
      </c>
      <c r="I26" s="19">
        <f>G26+H26-B26-D26</f>
        <v>0</v>
      </c>
      <c r="J26" s="19">
        <f>B26-G26</f>
        <v>-6601</v>
      </c>
      <c r="K26" s="19"/>
    </row>
    <row r="27" ht="20.05" customHeight="1">
      <c r="A27" s="34">
        <v>2022</v>
      </c>
      <c r="B27" s="18">
        <f>B26+'Cashflow'!D32+'Cashflow'!E32+'Cashflow'!J32</f>
        <v>2112.6</v>
      </c>
      <c r="C27" s="19">
        <v>14416</v>
      </c>
      <c r="D27" s="19">
        <f>C27-B27</f>
        <v>12303.4</v>
      </c>
      <c r="E27" s="19">
        <f>E26+'Sales'!E32</f>
        <v>7485.25</v>
      </c>
      <c r="F27" s="15">
        <f>B27+D27+#REF!</f>
      </c>
      <c r="G27" s="19">
        <v>7398</v>
      </c>
      <c r="H27" s="19">
        <f>C27-G27</f>
        <v>7018</v>
      </c>
      <c r="I27" s="19">
        <f>G27+H27-B27-D27</f>
        <v>0</v>
      </c>
      <c r="J27" s="19">
        <f>B27-G27</f>
        <v>-5285.4</v>
      </c>
      <c r="K27" s="19">
        <v>-3574.02460206</v>
      </c>
    </row>
    <row r="28" ht="20.05" customHeight="1">
      <c r="A28" s="32"/>
      <c r="B28" s="18"/>
      <c r="C28" s="19"/>
      <c r="D28" s="19"/>
      <c r="E28" s="19"/>
      <c r="F28" s="15">
        <f>B28+D28+#REF!</f>
      </c>
      <c r="G28" s="19"/>
      <c r="H28" s="19"/>
      <c r="I28" s="19"/>
      <c r="J28" s="19"/>
      <c r="K28" s="19">
        <f>'Model '!F31</f>
        <v>-3466.0752416275</v>
      </c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D21"/>
  <sheetViews>
    <sheetView workbookViewId="0" showGridLines="0" defaultGridColor="1"/>
  </sheetViews>
  <sheetFormatPr defaultColWidth="8.33333" defaultRowHeight="19.9" customHeight="1" outlineLevelRow="0" outlineLevelCol="0"/>
  <cols>
    <col min="1" max="1" width="11.1094" style="39" customWidth="1"/>
    <col min="2" max="2" width="7.375" style="39" customWidth="1"/>
    <col min="3" max="4" width="8.69531" style="39" customWidth="1"/>
    <col min="5" max="16384" width="8.35156" style="39" customWidth="1"/>
  </cols>
  <sheetData>
    <row r="1" ht="27.65" customHeight="1">
      <c r="B1" t="s" s="2">
        <v>56</v>
      </c>
      <c r="C1" s="2"/>
      <c r="D1" s="2"/>
    </row>
    <row r="2" ht="20.25" customHeight="1">
      <c r="B2" t="s" s="40">
        <v>57</v>
      </c>
      <c r="C2" t="s" s="40">
        <v>58</v>
      </c>
      <c r="D2" t="s" s="40">
        <v>59</v>
      </c>
    </row>
    <row r="3" ht="20.25" customHeight="1">
      <c r="B3" s="41">
        <v>2018</v>
      </c>
      <c r="C3" s="42">
        <v>970</v>
      </c>
      <c r="D3" s="43"/>
    </row>
    <row r="4" ht="20.05" customHeight="1">
      <c r="B4" s="44"/>
      <c r="C4" s="45">
        <v>810</v>
      </c>
      <c r="D4" s="46"/>
    </row>
    <row r="5" ht="20.05" customHeight="1">
      <c r="B5" s="44"/>
      <c r="C5" s="45">
        <v>745</v>
      </c>
      <c r="D5" s="46"/>
    </row>
    <row r="6" ht="20.05" customHeight="1">
      <c r="B6" s="44"/>
      <c r="C6" s="45">
        <v>755</v>
      </c>
      <c r="D6" s="46"/>
    </row>
    <row r="7" ht="20.05" customHeight="1">
      <c r="B7" s="47">
        <v>2019</v>
      </c>
      <c r="C7" s="45">
        <v>1225</v>
      </c>
      <c r="D7" s="46"/>
    </row>
    <row r="8" ht="20.05" customHeight="1">
      <c r="B8" s="44"/>
      <c r="C8" s="45">
        <v>1135</v>
      </c>
      <c r="D8" s="46"/>
    </row>
    <row r="9" ht="20.05" customHeight="1">
      <c r="B9" s="44"/>
      <c r="C9" s="45">
        <v>965</v>
      </c>
      <c r="D9" s="48"/>
    </row>
    <row r="10" ht="20.05" customHeight="1">
      <c r="B10" s="44"/>
      <c r="C10" s="45">
        <v>825</v>
      </c>
      <c r="D10" s="48"/>
    </row>
    <row r="11" ht="20.05" customHeight="1">
      <c r="B11" s="47">
        <v>2020</v>
      </c>
      <c r="C11" s="45">
        <v>428</v>
      </c>
      <c r="D11" s="48"/>
    </row>
    <row r="12" ht="20.05" customHeight="1">
      <c r="B12" s="44"/>
      <c r="C12" s="45">
        <v>595</v>
      </c>
      <c r="D12" s="48"/>
    </row>
    <row r="13" ht="20.05" customHeight="1">
      <c r="B13" s="44"/>
      <c r="C13" s="45">
        <v>675</v>
      </c>
      <c r="D13" s="48"/>
    </row>
    <row r="14" ht="20.05" customHeight="1">
      <c r="B14" s="44"/>
      <c r="C14" s="45">
        <v>1485</v>
      </c>
      <c r="D14" s="48"/>
    </row>
    <row r="15" ht="20.05" customHeight="1">
      <c r="B15" s="47">
        <v>2021</v>
      </c>
      <c r="C15" s="45">
        <v>1615</v>
      </c>
      <c r="D15" s="48"/>
    </row>
    <row r="16" ht="20.05" customHeight="1">
      <c r="B16" s="44"/>
      <c r="C16" s="45">
        <v>1490</v>
      </c>
      <c r="D16" s="48"/>
    </row>
    <row r="17" ht="20.05" customHeight="1">
      <c r="B17" s="44"/>
      <c r="C17" s="45">
        <v>1510</v>
      </c>
      <c r="D17" s="48"/>
    </row>
    <row r="18" ht="20.05" customHeight="1">
      <c r="B18" s="44"/>
      <c r="C18" s="45">
        <v>1455</v>
      </c>
      <c r="D18" s="48"/>
    </row>
    <row r="19" ht="20.05" customHeight="1">
      <c r="B19" s="47">
        <v>2022</v>
      </c>
      <c r="C19" s="45">
        <v>1820</v>
      </c>
      <c r="D19" s="48"/>
    </row>
    <row r="20" ht="20.05" customHeight="1">
      <c r="B20" s="44"/>
      <c r="C20" s="45">
        <v>1670</v>
      </c>
      <c r="D20" s="46">
        <v>3146.905222255760</v>
      </c>
    </row>
    <row r="21" ht="20.05" customHeight="1">
      <c r="B21" s="44"/>
      <c r="C21" s="45"/>
      <c r="D21" s="46">
        <f>'Model '!F44</f>
        <v>2839.629905138760</v>
      </c>
    </row>
  </sheetData>
  <mergeCells count="1">
    <mergeCell ref="B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