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<sst xmlns="http://schemas.openxmlformats.org/spreadsheetml/2006/main" uniqueCount="59">
  <si>
    <t>Financial model</t>
  </si>
  <si>
    <t>Rpbn</t>
  </si>
  <si>
    <t>4Q 2022</t>
  </si>
  <si>
    <t>Cashflow</t>
  </si>
  <si>
    <t>Growth</t>
  </si>
  <si>
    <t>Sales</t>
  </si>
  <si>
    <t xml:space="preserve">Cost ratio </t>
  </si>
  <si>
    <t>Cash costs</t>
  </si>
  <si>
    <t xml:space="preserve">Operating </t>
  </si>
  <si>
    <t xml:space="preserve">Investment </t>
  </si>
  <si>
    <t>Leases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</si>
  <si>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</si>
  <si>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</si>
  <si>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</si>
  <si>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</si>
  <si>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</si>
  <si>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</si>
  <si>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>Change</t>
  </si>
  <si>
    <t xml:space="preserve">Ending </t>
  </si>
  <si>
    <t xml:space="preserve">Profit </t>
  </si>
  <si>
    <t>JV</t>
  </si>
  <si>
    <t>Non cash costs</t>
  </si>
  <si>
    <t xml:space="preserve">Balance sheet </t>
  </si>
  <si>
    <t>Other assets</t>
  </si>
  <si>
    <t xml:space="preserve">Depreciation </t>
  </si>
  <si>
    <t xml:space="preserve">Net other assets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</si>
  <si>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</si>
  <si>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</si>
  <si>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</si>
  <si>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</si>
  <si>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</si>
  <si>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</si>
  <si>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</si>
  <si>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years </t>
  </si>
  <si>
    <t xml:space="preserve">Forecast </t>
  </si>
  <si>
    <t>Value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</si>
  <si>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</si>
  <si>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</si>
  <si>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</si>
  <si>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</si>
  <si>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</si>
  <si>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 </t>
  </si>
  <si>
    <t>Profit</t>
  </si>
  <si>
    <t xml:space="preserve">Sales growth </t>
  </si>
  <si>
    <t xml:space="preserve">Cashflow costs </t>
  </si>
  <si>
    <t xml:space="preserve">Receipts </t>
  </si>
  <si>
    <t xml:space="preserve">Interest </t>
  </si>
  <si>
    <t xml:space="preserve">Leases </t>
  </si>
  <si>
    <t>Liabilities</t>
  </si>
  <si>
    <t>Equity</t>
  </si>
  <si>
    <t>Free cashflow</t>
  </si>
  <si>
    <t xml:space="preserve">Cashflow </t>
  </si>
  <si>
    <t>Balance sheet</t>
  </si>
  <si>
    <t xml:space="preserve">Cash </t>
  </si>
  <si>
    <t>Assets</t>
  </si>
  <si>
    <t>Net cash</t>
  </si>
  <si>
    <t>Share price</t>
  </si>
  <si>
    <t>TAPG</t>
  </si>
  <si>
    <t>Previous 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</si>
</sst>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_);[Red]\(#,##0%\)"/>
    <numFmt numFmtId="60" formatCode="#,##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borderId="6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460514</xdr:colOff>
      <xdr:row>2</xdr:row>
      <xdr:rowOff>148003</xdr:rowOff>
    </xdr:from>
    <xdr:to>
      <xdr:col>13</xdr:col>
      <xdr:colOff>691766</xdr:colOff>
      <xdr:row>49</xdr:row>
      <xdr:rowOff>199889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083314" y="1153208"/>
          <a:ext cx="8943453" cy="1202481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33594" style="1" customWidth="1"/>
    <col min="2" max="2" width="15.6172" style="1" customWidth="1"/>
    <col min="3" max="6" width="9.08594" style="1" customWidth="1"/>
    <col min="7" max="16384" width="16.3516" style="1" customWidth="1"/>
  </cols>
  <sheetData>
    <row r="1" ht="51.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AVERAGE('Sales'!G10:G13)</f>
        <v>0.0342926455286377</v>
      </c>
      <c r="D4" s="8"/>
      <c r="E4" s="8"/>
      <c r="F4" s="9">
        <f>AVERAGE(C5:F5)</f>
        <v>-0.0025</v>
      </c>
    </row>
    <row r="5" ht="20.05" customHeight="1">
      <c r="B5" t="s" s="10">
        <v>4</v>
      </c>
      <c r="C5" s="11">
        <v>-0.2</v>
      </c>
      <c r="D5" s="12">
        <v>0.05</v>
      </c>
      <c r="E5" s="12">
        <v>0.07000000000000001</v>
      </c>
      <c r="F5" s="12">
        <v>0.07000000000000001</v>
      </c>
    </row>
    <row r="6" ht="20.05" customHeight="1">
      <c r="B6" t="s" s="10">
        <v>5</v>
      </c>
      <c r="C6" s="13">
        <f>'Sales'!B14*(1+C5)</f>
        <v>2737.68</v>
      </c>
      <c r="D6" s="14">
        <f>C6*(1+D5)</f>
        <v>2874.564</v>
      </c>
      <c r="E6" s="14">
        <f>D6*(1+E5)</f>
        <v>3075.78348</v>
      </c>
      <c r="F6" s="14">
        <f>E6*(1+F5)</f>
        <v>3291.0883236</v>
      </c>
    </row>
    <row r="7" ht="20.05" customHeight="1">
      <c r="B7" t="s" s="10">
        <v>6</v>
      </c>
      <c r="C7" s="11">
        <f>'Sales'!I14</f>
        <v>-0.7982417919520171</v>
      </c>
      <c r="D7" s="12">
        <f>C7</f>
        <v>-0.7982417919520171</v>
      </c>
      <c r="E7" s="12">
        <f>D7</f>
        <v>-0.7982417919520171</v>
      </c>
      <c r="F7" s="12">
        <f>E7</f>
        <v>-0.7982417919520171</v>
      </c>
    </row>
    <row r="8" ht="20.05" customHeight="1">
      <c r="B8" t="s" s="10">
        <v>7</v>
      </c>
      <c r="C8" s="15">
        <f>C6*C7</f>
        <v>-2185.3305889912</v>
      </c>
      <c r="D8" s="16">
        <f>D6*D7</f>
        <v>-2294.597118440760</v>
      </c>
      <c r="E8" s="16">
        <f>E6*E7</f>
        <v>-2455.218916731610</v>
      </c>
      <c r="F8" s="16">
        <f>F6*F7</f>
        <v>-2627.084240902820</v>
      </c>
    </row>
    <row r="9" ht="20.05" customHeight="1">
      <c r="B9" t="s" s="10">
        <v>8</v>
      </c>
      <c r="C9" s="15">
        <f>C6+C8</f>
        <v>552.3494110088</v>
      </c>
      <c r="D9" s="16">
        <f>D6+D8</f>
        <v>579.9668815592401</v>
      </c>
      <c r="E9" s="16">
        <f>E6+E8</f>
        <v>620.564563268390</v>
      </c>
      <c r="F9" s="16">
        <f>F6+F8</f>
        <v>664.004082697180</v>
      </c>
    </row>
    <row r="10" ht="20.05" customHeight="1">
      <c r="B10" t="s" s="10">
        <v>9</v>
      </c>
      <c r="C10" s="15">
        <f>'Cashflow'!F14</f>
        <v>-168.2</v>
      </c>
      <c r="D10" s="16">
        <f>C10</f>
        <v>-168.2</v>
      </c>
      <c r="E10" s="16">
        <f>D10</f>
        <v>-168.2</v>
      </c>
      <c r="F10" s="16">
        <f>E10</f>
        <v>-168.2</v>
      </c>
    </row>
    <row r="11" ht="20.05" customHeight="1">
      <c r="B11" t="s" s="10">
        <v>10</v>
      </c>
      <c r="C11" s="15">
        <f>'Cashflow'!D14</f>
        <v>-25.7</v>
      </c>
      <c r="D11" s="16">
        <f>C11</f>
        <v>-25.7</v>
      </c>
      <c r="E11" s="16">
        <f>D11</f>
        <v>-25.7</v>
      </c>
      <c r="F11" s="16">
        <f>E11</f>
        <v>-25.7</v>
      </c>
    </row>
    <row r="12" ht="20.05" customHeight="1">
      <c r="B12" t="s" s="10">
        <v>11</v>
      </c>
      <c r="C12" s="15">
        <f>C13+C14+C16</f>
        <v>-375.674823302640</v>
      </c>
      <c r="D12" s="16">
        <f>D13+D14+D16</f>
        <v>-372.335064467772</v>
      </c>
      <c r="E12" s="16">
        <f>E13+E14+E16</f>
        <v>-373.470618980517</v>
      </c>
      <c r="F12" s="16">
        <f>F13+F14+F16</f>
        <v>-376.010912309154</v>
      </c>
    </row>
    <row r="13" ht="20.05" customHeight="1">
      <c r="B13" t="s" s="10">
        <v>12</v>
      </c>
      <c r="C13" s="15">
        <f>-'Balance sheet'!G9/20</f>
        <v>-232.5</v>
      </c>
      <c r="D13" s="16">
        <f>-C28/20</f>
        <v>-220.875</v>
      </c>
      <c r="E13" s="16">
        <f>-D28/20</f>
        <v>-209.83125</v>
      </c>
      <c r="F13" s="16">
        <f>-E28/20</f>
        <v>-199.3396875</v>
      </c>
    </row>
    <row r="14" ht="20.05" customHeight="1">
      <c r="B14" t="s" s="10">
        <v>13</v>
      </c>
      <c r="C14" s="15">
        <f>IF(C23&gt;0,-C23*0.3,0)</f>
        <v>-143.174823302640</v>
      </c>
      <c r="D14" s="16">
        <f>IF(D23&gt;0,-D23*0.3,0)</f>
        <v>-151.460064467772</v>
      </c>
      <c r="E14" s="16">
        <f>IF(E23&gt;0,-E23*0.3,0)</f>
        <v>-163.639368980517</v>
      </c>
      <c r="F14" s="16">
        <f>IF(F23&gt;0,-F23*0.3,0)</f>
        <v>-176.671224809154</v>
      </c>
    </row>
    <row r="15" ht="20.05" customHeight="1">
      <c r="B15" t="s" s="10">
        <v>14</v>
      </c>
      <c r="C15" s="15">
        <f>C9+C10+C13+C14</f>
        <v>8.474587706159999</v>
      </c>
      <c r="D15" s="16">
        <f>D9+D10+D13+D14</f>
        <v>39.431817091468</v>
      </c>
      <c r="E15" s="16">
        <f>E9+E10+E13+E14</f>
        <v>78.893944287873</v>
      </c>
      <c r="F15" s="16">
        <f>F9+F10+F13+F14</f>
        <v>119.793170388026</v>
      </c>
    </row>
    <row r="16" ht="20.05" customHeight="1">
      <c r="B16" t="s" s="10">
        <v>15</v>
      </c>
      <c r="C16" s="15">
        <f>-MIN(0,C15)</f>
        <v>0</v>
      </c>
      <c r="D16" s="16">
        <f>-MIN(C29,D15)</f>
        <v>0</v>
      </c>
      <c r="E16" s="16">
        <f>-MIN(D29,E15)</f>
        <v>0</v>
      </c>
      <c r="F16" s="16">
        <f>-MIN(E29,F15)</f>
        <v>0</v>
      </c>
    </row>
    <row r="17" ht="20.05" customHeight="1">
      <c r="B17" t="s" s="10">
        <v>16</v>
      </c>
      <c r="C17" s="15">
        <f>'Balance sheet'!C9</f>
        <v>1280</v>
      </c>
      <c r="D17" s="16">
        <f>C19</f>
        <v>1288.474587706160</v>
      </c>
      <c r="E17" s="16">
        <f>D19</f>
        <v>1327.906404797630</v>
      </c>
      <c r="F17" s="16">
        <f>E19</f>
        <v>1406.8003490855</v>
      </c>
    </row>
    <row r="18" ht="20.05" customHeight="1">
      <c r="B18" t="s" s="10">
        <v>17</v>
      </c>
      <c r="C18" s="15">
        <f>C9+C10+C12</f>
        <v>8.474587706159999</v>
      </c>
      <c r="D18" s="16">
        <f>D9+D10+D12</f>
        <v>39.431817091468</v>
      </c>
      <c r="E18" s="16">
        <f>E9+E10+E12</f>
        <v>78.893944287873</v>
      </c>
      <c r="F18" s="16">
        <f>F9+F10+F12</f>
        <v>119.793170388026</v>
      </c>
    </row>
    <row r="19" ht="20.05" customHeight="1">
      <c r="B19" t="s" s="10">
        <v>18</v>
      </c>
      <c r="C19" s="15">
        <f>C17+C18</f>
        <v>1288.474587706160</v>
      </c>
      <c r="D19" s="16">
        <f>D17+D18</f>
        <v>1327.906404797630</v>
      </c>
      <c r="E19" s="16">
        <f>E17+E18</f>
        <v>1406.8003490855</v>
      </c>
      <c r="F19" s="16">
        <f>F17+F18</f>
        <v>1526.593519473530</v>
      </c>
    </row>
    <row r="20" ht="20.05" customHeight="1">
      <c r="B20" t="s" s="17">
        <v>19</v>
      </c>
      <c r="C20" s="15"/>
      <c r="D20" s="16"/>
      <c r="E20" s="16"/>
      <c r="F20" s="18"/>
    </row>
    <row r="21" ht="20.05" customHeight="1">
      <c r="B21" t="s" s="10">
        <v>20</v>
      </c>
      <c r="C21" s="15">
        <f>'Sales'!E14</f>
        <v>64.09999999999999</v>
      </c>
      <c r="D21" s="16">
        <f>C21</f>
        <v>64.09999999999999</v>
      </c>
      <c r="E21" s="16">
        <f>D21</f>
        <v>64.09999999999999</v>
      </c>
      <c r="F21" s="16">
        <f>E21</f>
        <v>64.09999999999999</v>
      </c>
    </row>
    <row r="22" ht="20.05" customHeight="1">
      <c r="B22" t="s" s="10">
        <v>21</v>
      </c>
      <c r="C22" s="19">
        <f>-'Sales'!D14</f>
        <v>-139.2</v>
      </c>
      <c r="D22" s="20">
        <f>C22</f>
        <v>-139.2</v>
      </c>
      <c r="E22" s="20">
        <f>D22</f>
        <v>-139.2</v>
      </c>
      <c r="F22" s="20">
        <f>E22</f>
        <v>-139.2</v>
      </c>
    </row>
    <row r="23" ht="20.05" customHeight="1">
      <c r="B23" t="s" s="10">
        <v>19</v>
      </c>
      <c r="C23" s="15">
        <f>C6+C8+C22+C21</f>
        <v>477.2494110088</v>
      </c>
      <c r="D23" s="16">
        <f>D6+D8+D22+D21</f>
        <v>504.866881559240</v>
      </c>
      <c r="E23" s="16">
        <f>E6+E8+E22+E21</f>
        <v>545.464563268390</v>
      </c>
      <c r="F23" s="16">
        <f>F6+F8+F22+F21</f>
        <v>588.904082697180</v>
      </c>
    </row>
    <row r="24" ht="20.05" customHeight="1">
      <c r="B24" t="s" s="17">
        <v>22</v>
      </c>
      <c r="C24" s="21"/>
      <c r="D24" s="22"/>
      <c r="E24" s="22"/>
      <c r="F24" s="22"/>
    </row>
    <row r="25" ht="20.05" customHeight="1">
      <c r="B25" t="s" s="10">
        <v>23</v>
      </c>
      <c r="C25" s="15">
        <f>'Balance sheet'!E9+'Balance sheet'!F9-C10+C21</f>
        <v>14987.3</v>
      </c>
      <c r="D25" s="16">
        <f>C25-D10+D21</f>
        <v>15219.6</v>
      </c>
      <c r="E25" s="16">
        <f>D25-E10+E21</f>
        <v>15451.9</v>
      </c>
      <c r="F25" s="16">
        <f>E25-F10+F21</f>
        <v>15684.2</v>
      </c>
    </row>
    <row r="26" ht="20.05" customHeight="1">
      <c r="B26" t="s" s="10">
        <v>24</v>
      </c>
      <c r="C26" s="15">
        <f>'Balance sheet'!F9-C22</f>
        <v>3728.2</v>
      </c>
      <c r="D26" s="16">
        <f>C26-D22</f>
        <v>3867.4</v>
      </c>
      <c r="E26" s="16">
        <f>D26-E22</f>
        <v>4006.6</v>
      </c>
      <c r="F26" s="16">
        <f>E26-F22</f>
        <v>4145.8</v>
      </c>
    </row>
    <row r="27" ht="20.05" customHeight="1">
      <c r="B27" t="s" s="10">
        <v>25</v>
      </c>
      <c r="C27" s="15">
        <f>C25-C26</f>
        <v>11259.1</v>
      </c>
      <c r="D27" s="16">
        <f>D25-D26</f>
        <v>11352.2</v>
      </c>
      <c r="E27" s="16">
        <f>E25-E26</f>
        <v>11445.3</v>
      </c>
      <c r="F27" s="16">
        <f>F25-F26</f>
        <v>11538.4</v>
      </c>
    </row>
    <row r="28" ht="20.05" customHeight="1">
      <c r="B28" t="s" s="10">
        <v>12</v>
      </c>
      <c r="C28" s="15">
        <f>'Balance sheet'!G9+C13</f>
        <v>4417.5</v>
      </c>
      <c r="D28" s="16">
        <f>C28+D13</f>
        <v>4196.625</v>
      </c>
      <c r="E28" s="16">
        <f>D28+E13</f>
        <v>3986.79375</v>
      </c>
      <c r="F28" s="16">
        <f>E28+F13</f>
        <v>3787.4540625</v>
      </c>
    </row>
    <row r="29" ht="20.05" customHeight="1">
      <c r="B29" t="s" s="10">
        <v>15</v>
      </c>
      <c r="C29" s="15">
        <f>C16</f>
        <v>0</v>
      </c>
      <c r="D29" s="16">
        <f>C29+D16</f>
        <v>0</v>
      </c>
      <c r="E29" s="16">
        <f>D29+E16</f>
        <v>0</v>
      </c>
      <c r="F29" s="16">
        <f>E29+F16</f>
        <v>0</v>
      </c>
    </row>
    <row r="30" ht="20.05" customHeight="1">
      <c r="B30" t="s" s="10">
        <v>13</v>
      </c>
      <c r="C30" s="15">
        <f>'Balance sheet'!H9+C23+C14</f>
        <v>8130.074587706160</v>
      </c>
      <c r="D30" s="16">
        <f>C30+D23+D14</f>
        <v>8483.481404797631</v>
      </c>
      <c r="E30" s="16">
        <f>D30+E23+E14</f>
        <v>8865.306599085499</v>
      </c>
      <c r="F30" s="16">
        <f>E30+F23+F14</f>
        <v>9277.539456973531</v>
      </c>
    </row>
    <row r="31" ht="20.05" customHeight="1">
      <c r="B31" t="s" s="10">
        <v>26</v>
      </c>
      <c r="C31" s="15">
        <f>C28+C29+C30-C19-C27</f>
        <v>0</v>
      </c>
      <c r="D31" s="16">
        <f>D28+D29+D30-D19-D27</f>
        <v>0</v>
      </c>
      <c r="E31" s="16">
        <f>E28+E29+E30-E19-E27</f>
        <v>0</v>
      </c>
      <c r="F31" s="16">
        <f>F28+F29+F30-F19-F27</f>
        <v>0</v>
      </c>
    </row>
    <row r="32" ht="20.05" customHeight="1">
      <c r="B32" t="s" s="10">
        <v>27</v>
      </c>
      <c r="C32" s="15">
        <f>C19-C28-C29</f>
        <v>-3129.025412293840</v>
      </c>
      <c r="D32" s="16">
        <f>D19-D28-D29</f>
        <v>-2868.718595202370</v>
      </c>
      <c r="E32" s="16">
        <f>E19-E28-E29</f>
        <v>-2579.9934009145</v>
      </c>
      <c r="F32" s="16">
        <f>F19-F28-F29</f>
        <v>-2260.860543026470</v>
      </c>
    </row>
    <row r="33" ht="20.05" customHeight="1">
      <c r="B33" t="s" s="17">
        <v>28</v>
      </c>
      <c r="C33" s="15"/>
      <c r="D33" s="16"/>
      <c r="E33" s="16"/>
      <c r="F33" s="16"/>
    </row>
    <row r="34" ht="20.05" customHeight="1">
      <c r="B34" t="s" s="10">
        <v>29</v>
      </c>
      <c r="C34" s="15">
        <f>'Cashflow'!M14-(C12-C11)</f>
        <v>3323.174823302640</v>
      </c>
      <c r="D34" s="16">
        <f>C34-(D12-D11)</f>
        <v>3669.809887770410</v>
      </c>
      <c r="E34" s="16">
        <f>D34-(E12-E11)</f>
        <v>4017.580506750930</v>
      </c>
      <c r="F34" s="16">
        <f>E34-(F12-F11)</f>
        <v>4367.891419060080</v>
      </c>
    </row>
    <row r="35" ht="20.05" customHeight="1">
      <c r="B35" t="s" s="10">
        <v>30</v>
      </c>
      <c r="C35" s="15"/>
      <c r="D35" s="16"/>
      <c r="E35" s="16"/>
      <c r="F35" s="16">
        <v>14194538209280</v>
      </c>
    </row>
    <row r="36" ht="20.05" customHeight="1">
      <c r="B36" t="s" s="10">
        <v>30</v>
      </c>
      <c r="C36" s="15"/>
      <c r="D36" s="16"/>
      <c r="E36" s="16"/>
      <c r="F36" s="16">
        <f>F35/1000000000</f>
        <v>14194.53820928</v>
      </c>
    </row>
    <row r="37" ht="20.05" customHeight="1">
      <c r="B37" t="s" s="10">
        <v>31</v>
      </c>
      <c r="C37" s="15"/>
      <c r="D37" s="16"/>
      <c r="E37" s="16"/>
      <c r="F37" s="23">
        <f>F36/(F19+F27)</f>
        <v>1.08645581707506</v>
      </c>
    </row>
    <row r="38" ht="20.05" customHeight="1">
      <c r="B38" t="s" s="10">
        <v>32</v>
      </c>
      <c r="C38" s="15"/>
      <c r="D38" s="16"/>
      <c r="E38" s="16"/>
      <c r="F38" s="24">
        <f>-(C14+D14+E14+F14)/F36</f>
        <v>0.0447316758177433</v>
      </c>
    </row>
    <row r="39" ht="20.05" customHeight="1">
      <c r="B39" t="s" s="10">
        <v>3</v>
      </c>
      <c r="C39" s="15"/>
      <c r="D39" s="16"/>
      <c r="E39" s="16"/>
      <c r="F39" s="16">
        <f>SUM(C9:F11)</f>
        <v>1641.284938533610</v>
      </c>
    </row>
    <row r="40" ht="20.05" customHeight="1">
      <c r="B40" t="s" s="10">
        <v>33</v>
      </c>
      <c r="C40" s="15"/>
      <c r="D40" s="16"/>
      <c r="E40" s="16"/>
      <c r="F40" s="16">
        <f>'Balance sheet'!E9/F39</f>
        <v>6.80320627932902</v>
      </c>
    </row>
    <row r="41" ht="20.05" customHeight="1">
      <c r="B41" t="s" s="10">
        <v>28</v>
      </c>
      <c r="C41" s="15"/>
      <c r="D41" s="16"/>
      <c r="E41" s="16"/>
      <c r="F41" s="16">
        <f>F36/F39</f>
        <v>8.64843018785146</v>
      </c>
    </row>
    <row r="42" ht="20.05" customHeight="1">
      <c r="B42" t="s" s="10">
        <v>34</v>
      </c>
      <c r="C42" s="15"/>
      <c r="D42" s="16"/>
      <c r="E42" s="16"/>
      <c r="F42" s="16">
        <v>15</v>
      </c>
    </row>
    <row r="43" ht="20.05" customHeight="1">
      <c r="B43" t="s" s="10">
        <v>35</v>
      </c>
      <c r="C43" s="15"/>
      <c r="D43" s="16"/>
      <c r="E43" s="16"/>
      <c r="F43" s="16">
        <f>F39*F42</f>
        <v>24619.2740780042</v>
      </c>
    </row>
    <row r="44" ht="20.05" customHeight="1">
      <c r="B44" t="s" s="10">
        <v>36</v>
      </c>
      <c r="C44" s="15"/>
      <c r="D44" s="16"/>
      <c r="E44" s="16"/>
      <c r="F44" s="16">
        <f>F36/F46</f>
        <v>19.852500992</v>
      </c>
    </row>
    <row r="45" ht="20.05" customHeight="1">
      <c r="B45" t="s" s="10">
        <v>37</v>
      </c>
      <c r="C45" s="15"/>
      <c r="D45" s="16"/>
      <c r="E45" s="16"/>
      <c r="F45" s="16">
        <f>F43/F44</f>
        <v>1240.109449581440</v>
      </c>
    </row>
    <row r="46" ht="20.05" customHeight="1">
      <c r="B46" t="s" s="10">
        <v>38</v>
      </c>
      <c r="C46" s="15"/>
      <c r="D46" s="16"/>
      <c r="E46" s="16"/>
      <c r="F46" s="16">
        <v>715</v>
      </c>
    </row>
    <row r="47" ht="20.05" customHeight="1">
      <c r="B47" t="s" s="10">
        <v>39</v>
      </c>
      <c r="C47" s="15"/>
      <c r="D47" s="16"/>
      <c r="E47" s="16"/>
      <c r="F47" s="24">
        <f>F45/F46-1</f>
        <v>0.734418810603413</v>
      </c>
    </row>
    <row r="48" ht="20.05" customHeight="1">
      <c r="B48" t="s" s="10">
        <v>40</v>
      </c>
      <c r="C48" s="13"/>
      <c r="D48" s="14"/>
      <c r="E48" s="14"/>
      <c r="F48" s="25">
        <f>'Sales'!B14/'Sales'!B10-1</f>
        <v>1.43739316239316</v>
      </c>
    </row>
    <row r="49" ht="20.05" customHeight="1">
      <c r="B49" t="s" s="10">
        <v>41</v>
      </c>
      <c r="C49" s="13"/>
      <c r="D49" s="14"/>
      <c r="E49" s="14"/>
      <c r="F49" s="24">
        <f>('Sales'!C12+'Sales'!C14+'Sales'!C13)/('Sales'!B12+'Sales'!B14+'Sales'!B13)-1</f>
        <v>-0.271104264385787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K1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1" width="11.2188" style="26" customWidth="1"/>
    <col min="12" max="16384" width="16.3516" style="26" customWidth="1"/>
  </cols>
  <sheetData>
    <row r="1" ht="27.65" customHeight="1">
      <c r="A1" t="s" s="2">
        <v>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A2" t="s" s="5">
        <v>1</v>
      </c>
      <c r="B2" t="s" s="5">
        <v>5</v>
      </c>
      <c r="C2" t="s" s="5">
        <v>37</v>
      </c>
      <c r="D2" t="s" s="5">
        <v>21</v>
      </c>
      <c r="E2" t="s" s="5">
        <v>20</v>
      </c>
      <c r="F2" t="s" s="5">
        <v>42</v>
      </c>
      <c r="G2" t="s" s="5">
        <v>43</v>
      </c>
      <c r="H2" t="s" s="5">
        <v>6</v>
      </c>
      <c r="I2" t="s" s="5">
        <v>6</v>
      </c>
      <c r="J2" t="s" s="5">
        <v>34</v>
      </c>
      <c r="K2" t="s" s="5">
        <v>44</v>
      </c>
    </row>
    <row r="3" ht="20.25" customHeight="1">
      <c r="A3" s="27">
        <v>2019</v>
      </c>
      <c r="B3" s="28">
        <v>1082.25</v>
      </c>
      <c r="C3" s="29"/>
      <c r="D3" s="29">
        <v>123.75</v>
      </c>
      <c r="E3" s="29"/>
      <c r="F3" s="29">
        <v>47</v>
      </c>
      <c r="G3" s="8"/>
      <c r="H3" s="30">
        <f>(D3+E3+F3-B3)/B3</f>
        <v>-0.842226842226842</v>
      </c>
      <c r="I3" s="9"/>
      <c r="J3" s="9"/>
      <c r="K3" s="9"/>
    </row>
    <row r="4" ht="20.05" customHeight="1">
      <c r="A4" s="31"/>
      <c r="B4" s="13">
        <v>1082.25</v>
      </c>
      <c r="C4" s="14"/>
      <c r="D4" s="14">
        <v>123.75</v>
      </c>
      <c r="E4" s="14"/>
      <c r="F4" s="14">
        <v>47</v>
      </c>
      <c r="G4" s="18"/>
      <c r="H4" s="24">
        <f>(D4+E4+F4-B4)/B4</f>
        <v>-0.842226842226842</v>
      </c>
      <c r="I4" s="12"/>
      <c r="J4" s="12"/>
      <c r="K4" s="12"/>
    </row>
    <row r="5" ht="20.05" customHeight="1">
      <c r="A5" s="31"/>
      <c r="B5" s="13">
        <v>1082.25</v>
      </c>
      <c r="C5" s="14"/>
      <c r="D5" s="14">
        <v>123.75</v>
      </c>
      <c r="E5" s="14"/>
      <c r="F5" s="14">
        <v>47</v>
      </c>
      <c r="G5" s="18"/>
      <c r="H5" s="24">
        <f>(D5+E5+F5-B5)/B5</f>
        <v>-0.842226842226842</v>
      </c>
      <c r="I5" s="24">
        <f>AVERAGE(H2:H5)</f>
        <v>-0.842226842226842</v>
      </c>
      <c r="J5" s="12"/>
      <c r="K5" s="12"/>
    </row>
    <row r="6" ht="20.05" customHeight="1">
      <c r="A6" s="31"/>
      <c r="B6" s="13">
        <v>1082.25</v>
      </c>
      <c r="C6" s="14"/>
      <c r="D6" s="14">
        <v>123.75</v>
      </c>
      <c r="E6" s="14"/>
      <c r="F6" s="14">
        <v>47</v>
      </c>
      <c r="G6" s="25"/>
      <c r="H6" s="24">
        <f>(D6+E6+F6-B6)/B6</f>
        <v>-0.842226842226842</v>
      </c>
      <c r="I6" s="24">
        <f>AVERAGE(H3:H6)</f>
        <v>-0.842226842226842</v>
      </c>
      <c r="J6" s="24"/>
      <c r="K6" s="24">
        <f>('Cashflow'!E6+'Cashflow'!C6-'Cashflow'!B6)/'Cashflow'!B6</f>
        <v>-0.936886395511921</v>
      </c>
    </row>
    <row r="7" ht="20.05" customHeight="1">
      <c r="A7" s="32">
        <v>2020</v>
      </c>
      <c r="B7" s="13">
        <v>1360</v>
      </c>
      <c r="C7" s="14"/>
      <c r="D7" s="14">
        <f t="shared" si="7" ref="D7:D10">526/4</f>
        <v>131.5</v>
      </c>
      <c r="E7" s="14">
        <v>101</v>
      </c>
      <c r="F7" s="14">
        <v>233.25</v>
      </c>
      <c r="G7" s="25"/>
      <c r="H7" s="24">
        <f>(D7+E7+F7-B7)/B7</f>
        <v>-0.657536764705882</v>
      </c>
      <c r="I7" s="24">
        <f>AVERAGE(H4:H7)</f>
        <v>-0.796054322846602</v>
      </c>
      <c r="J7" s="24"/>
      <c r="K7" s="24">
        <f>('Cashflow'!E7+'Cashflow'!C7-'Cashflow'!B7)/'Cashflow'!B7</f>
        <v>-0.833333333333333</v>
      </c>
    </row>
    <row r="8" ht="20.05" customHeight="1">
      <c r="A8" s="31"/>
      <c r="B8" s="13">
        <v>1098</v>
      </c>
      <c r="C8" s="14"/>
      <c r="D8" s="14">
        <v>131.5</v>
      </c>
      <c r="E8" s="14">
        <v>101</v>
      </c>
      <c r="F8" s="14">
        <v>233.25</v>
      </c>
      <c r="G8" s="24">
        <f>B8/B7-1</f>
        <v>-0.192647058823529</v>
      </c>
      <c r="H8" s="24">
        <f>(D8+E8+F8-B8)/B8</f>
        <v>-0.575819672131148</v>
      </c>
      <c r="I8" s="24">
        <f>AVERAGE(H5:H8)</f>
        <v>-0.729452530322679</v>
      </c>
      <c r="J8" s="24"/>
      <c r="K8" s="24">
        <f>('Cashflow'!E8+'Cashflow'!C8-'Cashflow'!B8)/'Cashflow'!B8</f>
        <v>-0.787766450417053</v>
      </c>
    </row>
    <row r="9" ht="20.05" customHeight="1">
      <c r="A9" s="31"/>
      <c r="B9" s="13">
        <v>1404</v>
      </c>
      <c r="C9" s="14"/>
      <c r="D9" s="14">
        <f t="shared" si="7"/>
        <v>131.5</v>
      </c>
      <c r="E9" s="14">
        <v>101</v>
      </c>
      <c r="F9" s="14">
        <v>233.25</v>
      </c>
      <c r="G9" s="24">
        <f>B9/B8-1</f>
        <v>0.278688524590164</v>
      </c>
      <c r="H9" s="24">
        <f>(D9+E9+F9-B9)/B9</f>
        <v>-0.6682692307692309</v>
      </c>
      <c r="I9" s="24">
        <f>AVERAGE(H6:H9)</f>
        <v>-0.685963127458276</v>
      </c>
      <c r="J9" s="24"/>
      <c r="K9" s="24">
        <f>('Cashflow'!E9+'Cashflow'!C9-'Cashflow'!B9)/'Cashflow'!B9</f>
        <v>-0.704323570432357</v>
      </c>
    </row>
    <row r="10" ht="20.05" customHeight="1">
      <c r="A10" s="31"/>
      <c r="B10" s="13">
        <v>1404</v>
      </c>
      <c r="C10" s="14"/>
      <c r="D10" s="14">
        <f t="shared" si="7"/>
        <v>131.5</v>
      </c>
      <c r="E10" s="14">
        <v>101</v>
      </c>
      <c r="F10" s="14">
        <v>233.25</v>
      </c>
      <c r="G10" s="24">
        <f>B10/B9-1</f>
        <v>0</v>
      </c>
      <c r="H10" s="24">
        <f>(D10+E10+F10-B10)/B10</f>
        <v>-0.6682692307692309</v>
      </c>
      <c r="I10" s="24">
        <f>AVERAGE(H7:H10)</f>
        <v>-0.642473724593873</v>
      </c>
      <c r="J10" s="24"/>
      <c r="K10" s="24">
        <f>('Cashflow'!E10+'Cashflow'!C10-'Cashflow'!B10)/'Cashflow'!B10</f>
        <v>-0.704323570432357</v>
      </c>
    </row>
    <row r="11" ht="20.05" customHeight="1">
      <c r="A11" s="32">
        <v>2021</v>
      </c>
      <c r="B11" s="13">
        <v>1351</v>
      </c>
      <c r="C11" s="14"/>
      <c r="D11" s="14">
        <v>139</v>
      </c>
      <c r="E11" s="14">
        <v>98</v>
      </c>
      <c r="F11" s="14">
        <v>144</v>
      </c>
      <c r="G11" s="24">
        <f>B11/B10-1</f>
        <v>-0.0377492877492877</v>
      </c>
      <c r="H11" s="24">
        <f>(D11+F11-B11)/B11</f>
        <v>-0.790525536639526</v>
      </c>
      <c r="I11" s="24">
        <f>AVERAGE(H8:H11)</f>
        <v>-0.675720917577284</v>
      </c>
      <c r="J11" s="24"/>
      <c r="K11" s="24">
        <f>('Cashflow'!E11+'Cashflow'!C11-'Cashflow'!B11)/'Cashflow'!B11</f>
        <v>-0.89069423929099</v>
      </c>
    </row>
    <row r="12" ht="20.05" customHeight="1">
      <c r="A12" s="31"/>
      <c r="B12" s="13">
        <v>1505</v>
      </c>
      <c r="C12" s="14">
        <v>1418.55</v>
      </c>
      <c r="D12" s="14">
        <v>139</v>
      </c>
      <c r="E12" s="14">
        <v>98</v>
      </c>
      <c r="F12" s="14">
        <v>273</v>
      </c>
      <c r="G12" s="24">
        <f>B12/B11-1</f>
        <v>0.113989637305699</v>
      </c>
      <c r="H12" s="24">
        <f>(F12+D12-E12-B12)/B12</f>
        <v>-0.791362126245847</v>
      </c>
      <c r="I12" s="24">
        <f>AVERAGE(H9:H12)</f>
        <v>-0.729606531105959</v>
      </c>
      <c r="J12" s="24"/>
      <c r="K12" s="24">
        <f>('Cashflow'!E12+'Cashflow'!C12-'Cashflow'!B12)/'Cashflow'!B12</f>
        <v>-0.9090909090909089</v>
      </c>
    </row>
    <row r="13" ht="20.05" customHeight="1">
      <c r="A13" s="31"/>
      <c r="B13" s="13">
        <f>4452.7-SUM(B11:B12)</f>
        <v>1596.7</v>
      </c>
      <c r="C13" s="14">
        <v>1580.25</v>
      </c>
      <c r="D13" s="14">
        <f>417.5-SUM(D11:D12)</f>
        <v>139.5</v>
      </c>
      <c r="E13" s="14">
        <f>284.6-SUM(E11:E12)</f>
        <v>88.59999999999999</v>
      </c>
      <c r="F13" s="14">
        <f>736.3-SUM(F11:F12)</f>
        <v>319.3</v>
      </c>
      <c r="G13" s="25">
        <f>B13/B12-1</f>
        <v>0.0609302325581395</v>
      </c>
      <c r="H13" s="24">
        <f>(F13+D13-E13-B13)/B13</f>
        <v>-0.768146802780735</v>
      </c>
      <c r="I13" s="24">
        <f>AVERAGE(H10:H13)</f>
        <v>-0.754575924108835</v>
      </c>
      <c r="J13" s="24"/>
      <c r="K13" s="24">
        <f>('Cashflow'!E13+'Cashflow'!C13-'Cashflow'!B13)/'Cashflow'!B13</f>
        <v>-0.727814361868924</v>
      </c>
    </row>
    <row r="14" ht="20.05" customHeight="1">
      <c r="A14" s="31"/>
      <c r="B14" s="13">
        <f>6278.1-SUM(B11:B12)</f>
        <v>3422.1</v>
      </c>
      <c r="C14" s="14">
        <v>1756.37</v>
      </c>
      <c r="D14" s="14">
        <f>556.7-SUM(D11:D13)</f>
        <v>139.2</v>
      </c>
      <c r="E14" s="14">
        <f>348.7-SUM(E11:E13)</f>
        <v>64.09999999999999</v>
      </c>
      <c r="F14" s="14">
        <f>1198.7-SUM(F11:F13)</f>
        <v>462.4</v>
      </c>
      <c r="G14" s="25">
        <f>B14/B13-1</f>
        <v>1.14323291789315</v>
      </c>
      <c r="H14" s="24">
        <f>(F14+D14-E14-B14)/B14</f>
        <v>-0.84293270214196</v>
      </c>
      <c r="I14" s="24">
        <f>AVERAGE(H11:H14)</f>
        <v>-0.7982417919520171</v>
      </c>
      <c r="J14" s="24">
        <f>I14</f>
        <v>-0.7982417919520171</v>
      </c>
      <c r="K14" s="24">
        <f>('Cashflow'!E14+'Cashflow'!C14-'Cashflow'!B14)/'Cashflow'!B14</f>
        <v>-0.68766149870801</v>
      </c>
    </row>
    <row r="15" ht="20.05" customHeight="1">
      <c r="A15" s="32">
        <v>2022</v>
      </c>
      <c r="B15" s="13"/>
      <c r="C15" s="14">
        <f>'Model'!C6</f>
        <v>2737.68</v>
      </c>
      <c r="D15" s="14"/>
      <c r="E15" s="14"/>
      <c r="F15" s="14"/>
      <c r="G15" s="25"/>
      <c r="H15" s="18"/>
      <c r="I15" s="18"/>
      <c r="J15" s="24">
        <f>'Model'!C7</f>
        <v>-0.7982417919520171</v>
      </c>
      <c r="K15" s="18"/>
    </row>
    <row r="16" ht="20.05" customHeight="1">
      <c r="A16" s="31"/>
      <c r="B16" s="13"/>
      <c r="C16" s="14">
        <f>'Model'!D6</f>
        <v>2874.564</v>
      </c>
      <c r="D16" s="14"/>
      <c r="E16" s="14"/>
      <c r="F16" s="14"/>
      <c r="G16" s="25"/>
      <c r="H16" s="24"/>
      <c r="I16" s="24"/>
      <c r="J16" s="24"/>
      <c r="K16" s="24"/>
    </row>
    <row r="17" ht="20.05" customHeight="1">
      <c r="A17" s="31"/>
      <c r="B17" s="13"/>
      <c r="C17" s="14">
        <f>'Model'!E6</f>
        <v>3075.78348</v>
      </c>
      <c r="D17" s="14"/>
      <c r="E17" s="14"/>
      <c r="F17" s="14"/>
      <c r="G17" s="25"/>
      <c r="H17" s="24"/>
      <c r="I17" s="24"/>
      <c r="J17" s="24"/>
      <c r="K17" s="24"/>
    </row>
    <row r="18" ht="20.05" customHeight="1">
      <c r="A18" s="31"/>
      <c r="B18" s="13"/>
      <c r="C18" s="14">
        <f>'Model'!F6</f>
        <v>3291.0883236</v>
      </c>
      <c r="D18" s="14"/>
      <c r="E18" s="14"/>
      <c r="F18" s="14"/>
      <c r="G18" s="25"/>
      <c r="H18" s="24"/>
      <c r="I18" s="24"/>
      <c r="J18" s="24"/>
      <c r="K18" s="24"/>
    </row>
  </sheetData>
  <mergeCells count="1">
    <mergeCell ref="A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N1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2.2266" style="33" customWidth="1"/>
    <col min="2" max="14" width="8.6875" style="33" customWidth="1"/>
    <col min="15" max="16384" width="16.3516" style="33" customWidth="1"/>
  </cols>
  <sheetData>
    <row r="1" ht="27.65" customHeight="1">
      <c r="A1" t="s" s="2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2.25" customHeight="1">
      <c r="A2" t="s" s="5">
        <v>1</v>
      </c>
      <c r="B2" t="s" s="5">
        <v>45</v>
      </c>
      <c r="C2" t="s" s="5">
        <v>46</v>
      </c>
      <c r="D2" t="s" s="5">
        <v>47</v>
      </c>
      <c r="E2" t="s" s="5">
        <v>8</v>
      </c>
      <c r="F2" t="s" s="5">
        <v>9</v>
      </c>
      <c r="G2" t="s" s="5">
        <v>48</v>
      </c>
      <c r="H2" t="s" s="5">
        <v>49</v>
      </c>
      <c r="I2" t="s" s="5">
        <v>11</v>
      </c>
      <c r="J2" t="s" s="5">
        <v>50</v>
      </c>
      <c r="K2" t="s" s="5">
        <v>51</v>
      </c>
      <c r="L2" t="s" s="5">
        <v>34</v>
      </c>
      <c r="M2" t="s" s="5">
        <v>29</v>
      </c>
      <c r="N2" t="s" s="5">
        <v>34</v>
      </c>
    </row>
    <row r="3" ht="20.25" customHeight="1">
      <c r="A3" s="27">
        <v>2019</v>
      </c>
      <c r="B3" s="34">
        <v>1069.5</v>
      </c>
      <c r="C3" s="35">
        <v>-111.5</v>
      </c>
      <c r="D3" s="35">
        <v>-17.5</v>
      </c>
      <c r="E3" s="35">
        <v>179</v>
      </c>
      <c r="F3" s="35">
        <v>-151.5</v>
      </c>
      <c r="G3" s="35"/>
      <c r="H3" s="35"/>
      <c r="I3" s="35">
        <v>-369.75</v>
      </c>
      <c r="J3" s="35">
        <f>C3+D3+E3+F3</f>
        <v>-101.5</v>
      </c>
      <c r="K3" s="35"/>
      <c r="L3" s="35"/>
      <c r="M3" s="35">
        <f>-(I3-D3-C3)</f>
        <v>240.75</v>
      </c>
      <c r="N3" s="35"/>
    </row>
    <row r="4" ht="20.05" customHeight="1">
      <c r="A4" s="31"/>
      <c r="B4" s="15">
        <v>1069.5</v>
      </c>
      <c r="C4" s="16">
        <v>-111.5</v>
      </c>
      <c r="D4" s="16">
        <v>-17.5</v>
      </c>
      <c r="E4" s="16">
        <v>179</v>
      </c>
      <c r="F4" s="16">
        <v>-151.5</v>
      </c>
      <c r="G4" s="16"/>
      <c r="H4" s="16"/>
      <c r="I4" s="16">
        <v>-369.75</v>
      </c>
      <c r="J4" s="16">
        <f>C4+D4+E4+F4</f>
        <v>-101.5</v>
      </c>
      <c r="K4" s="16"/>
      <c r="L4" s="16"/>
      <c r="M4" s="16">
        <f>-(I4-D4-C4)+M3</f>
        <v>481.5</v>
      </c>
      <c r="N4" s="16"/>
    </row>
    <row r="5" ht="20.05" customHeight="1">
      <c r="A5" s="31"/>
      <c r="B5" s="15">
        <v>1069.5</v>
      </c>
      <c r="C5" s="16">
        <v>-111.5</v>
      </c>
      <c r="D5" s="16">
        <v>-17.5</v>
      </c>
      <c r="E5" s="16">
        <v>179</v>
      </c>
      <c r="F5" s="16">
        <v>-151.5</v>
      </c>
      <c r="G5" s="16"/>
      <c r="H5" s="16"/>
      <c r="I5" s="16">
        <v>-369.75</v>
      </c>
      <c r="J5" s="16">
        <f>C5+D5+E5+F5</f>
        <v>-101.5</v>
      </c>
      <c r="K5" s="16"/>
      <c r="L5" s="16"/>
      <c r="M5" s="16">
        <f>-(I5-D5-C5)+M4</f>
        <v>722.25</v>
      </c>
      <c r="N5" s="16"/>
    </row>
    <row r="6" ht="20.05" customHeight="1">
      <c r="A6" s="31"/>
      <c r="B6" s="15">
        <v>1069.5</v>
      </c>
      <c r="C6" s="16">
        <v>-111.5</v>
      </c>
      <c r="D6" s="16">
        <v>-17.5</v>
      </c>
      <c r="E6" s="16">
        <v>179</v>
      </c>
      <c r="F6" s="16">
        <v>-151.5</v>
      </c>
      <c r="G6" s="16"/>
      <c r="H6" s="16"/>
      <c r="I6" s="16">
        <v>-369.75</v>
      </c>
      <c r="J6" s="16">
        <f>C6+D6+E6+F6</f>
        <v>-101.5</v>
      </c>
      <c r="K6" s="16">
        <f>AVERAGE(J3:J6)</f>
        <v>-101.5</v>
      </c>
      <c r="L6" s="16"/>
      <c r="M6" s="16">
        <f>-(I6-D6-C6)+M5</f>
        <v>963</v>
      </c>
      <c r="N6" s="16"/>
    </row>
    <row r="7" ht="20.05" customHeight="1">
      <c r="A7" s="32">
        <v>2020</v>
      </c>
      <c r="B7" s="15">
        <v>1386</v>
      </c>
      <c r="C7" s="16">
        <v>-84</v>
      </c>
      <c r="D7" s="16">
        <v>-25</v>
      </c>
      <c r="E7" s="16">
        <v>315</v>
      </c>
      <c r="F7" s="16">
        <v>-108</v>
      </c>
      <c r="G7" s="16">
        <f>-150-488.5+41</f>
        <v>-597.5</v>
      </c>
      <c r="H7" s="16">
        <f>I7-G7-D7-C7</f>
        <v>0.5</v>
      </c>
      <c r="I7" s="16">
        <v>-706</v>
      </c>
      <c r="J7" s="16">
        <f>C7+D7+E7+F7</f>
        <v>98</v>
      </c>
      <c r="K7" s="16">
        <f>AVERAGE(J4:J7)</f>
        <v>-51.625</v>
      </c>
      <c r="L7" s="16"/>
      <c r="M7" s="16">
        <f>-(I7-D7-C7)+M6</f>
        <v>1560</v>
      </c>
      <c r="N7" s="16"/>
    </row>
    <row r="8" ht="20.05" customHeight="1">
      <c r="A8" s="31"/>
      <c r="B8" s="15">
        <v>1079</v>
      </c>
      <c r="C8" s="16">
        <v>-59</v>
      </c>
      <c r="D8" s="16">
        <v>-27</v>
      </c>
      <c r="E8" s="16">
        <v>288</v>
      </c>
      <c r="F8" s="16">
        <v>36</v>
      </c>
      <c r="G8" s="16">
        <f>-299+286.2-506.9+41-G7</f>
        <v>118.8</v>
      </c>
      <c r="H8" s="16">
        <f>I8-G8-D8-C8</f>
        <v>0.2</v>
      </c>
      <c r="I8" s="16">
        <v>33</v>
      </c>
      <c r="J8" s="16">
        <f>C8+D8+E8+F8</f>
        <v>238</v>
      </c>
      <c r="K8" s="16">
        <f>AVERAGE(J5:J8)</f>
        <v>33.25</v>
      </c>
      <c r="L8" s="16"/>
      <c r="M8" s="16">
        <f>-(I8-D8-C8)+M7</f>
        <v>1441</v>
      </c>
      <c r="N8" s="16"/>
    </row>
    <row r="9" ht="20.05" customHeight="1">
      <c r="A9" s="31"/>
      <c r="B9" s="15">
        <v>1434</v>
      </c>
      <c r="C9" s="16">
        <v>-51</v>
      </c>
      <c r="D9" s="16">
        <v>-27</v>
      </c>
      <c r="E9" s="16">
        <v>475</v>
      </c>
      <c r="F9" s="16">
        <v>-70.5</v>
      </c>
      <c r="G9" s="16">
        <f>-299+286.2-680+41-SUM(G7:G8)</f>
        <v>-173.1</v>
      </c>
      <c r="H9" s="16">
        <f>I9-G9-D9-C9</f>
        <v>-69.40000000000001</v>
      </c>
      <c r="I9" s="16">
        <v>-320.5</v>
      </c>
      <c r="J9" s="16">
        <f>C9+D9+E9+F9</f>
        <v>326.5</v>
      </c>
      <c r="K9" s="16">
        <f>AVERAGE(J6:J9)</f>
        <v>140.25</v>
      </c>
      <c r="L9" s="16"/>
      <c r="M9" s="16">
        <f>-(I9-D9-C9)+M8</f>
        <v>1683.5</v>
      </c>
      <c r="N9" s="16"/>
    </row>
    <row r="10" ht="20.05" customHeight="1">
      <c r="A10" s="31"/>
      <c r="B10" s="15">
        <v>1434</v>
      </c>
      <c r="C10" s="16">
        <v>-51</v>
      </c>
      <c r="D10" s="16">
        <v>-27</v>
      </c>
      <c r="E10" s="16">
        <v>475</v>
      </c>
      <c r="F10" s="16">
        <v>-70.5</v>
      </c>
      <c r="G10" s="16">
        <f>-990.6-299+286.2+41-SUM(G7:G9)</f>
        <v>-310.6</v>
      </c>
      <c r="H10" s="16">
        <f>I10-G10-D10-C10</f>
        <v>68.09999999999999</v>
      </c>
      <c r="I10" s="16">
        <v>-320.5</v>
      </c>
      <c r="J10" s="16">
        <f>C10+D10+E10+F10</f>
        <v>326.5</v>
      </c>
      <c r="K10" s="16">
        <f>AVERAGE(J7:J10)</f>
        <v>247.25</v>
      </c>
      <c r="L10" s="16"/>
      <c r="M10" s="16">
        <f>-(I10-D10-C10)+M9</f>
        <v>1926</v>
      </c>
      <c r="N10" s="16"/>
    </row>
    <row r="11" ht="20.05" customHeight="1">
      <c r="A11" s="32">
        <v>2021</v>
      </c>
      <c r="B11" s="15">
        <v>1354</v>
      </c>
      <c r="C11" s="16">
        <v>-40</v>
      </c>
      <c r="D11" s="16">
        <v>-28</v>
      </c>
      <c r="E11" s="16">
        <v>188</v>
      </c>
      <c r="F11" s="16">
        <v>-75</v>
      </c>
      <c r="G11" s="16">
        <f>-180-290.6</f>
        <v>-470.6</v>
      </c>
      <c r="H11" s="16">
        <f>I11-G11-D11-C11</f>
        <v>-0.4</v>
      </c>
      <c r="I11" s="16">
        <v>-539</v>
      </c>
      <c r="J11" s="16">
        <f>C11+D11+E11+F11</f>
        <v>45</v>
      </c>
      <c r="K11" s="16">
        <f>AVERAGE(J8:J11)</f>
        <v>234</v>
      </c>
      <c r="L11" s="16"/>
      <c r="M11" s="16">
        <f>-(I11-D11-C11)+M10</f>
        <v>2397</v>
      </c>
      <c r="N11" s="16"/>
    </row>
    <row r="12" ht="20.05" customHeight="1">
      <c r="A12" s="31"/>
      <c r="B12" s="15">
        <v>1474</v>
      </c>
      <c r="C12" s="16">
        <v>-36</v>
      </c>
      <c r="D12" s="16">
        <v>-29</v>
      </c>
      <c r="E12" s="16">
        <v>170</v>
      </c>
      <c r="F12" s="16">
        <v>48</v>
      </c>
      <c r="G12" s="16">
        <f>-180-455.4-G11</f>
        <v>-164.8</v>
      </c>
      <c r="H12" s="16">
        <f>I12-G12-D12-C12</f>
        <v>167.8</v>
      </c>
      <c r="I12" s="16">
        <v>-62</v>
      </c>
      <c r="J12" s="16">
        <f>C12+D12+E12+F12</f>
        <v>153</v>
      </c>
      <c r="K12" s="16">
        <f>AVERAGE(J9:J12)</f>
        <v>212.75</v>
      </c>
      <c r="L12" s="16"/>
      <c r="M12" s="16">
        <f>-(I12-D12-C12)+M11</f>
        <v>2394</v>
      </c>
      <c r="N12" s="16"/>
    </row>
    <row r="13" ht="20.05" customHeight="1">
      <c r="A13" s="31"/>
      <c r="B13" s="15">
        <f>4422.5-SUM(B11:B12)</f>
        <v>1594.5</v>
      </c>
      <c r="C13" s="16">
        <f>-110.6-SUM(C11:C12)</f>
        <v>-34.6</v>
      </c>
      <c r="D13" s="16">
        <f>-85.3-SUM(D11:D12)</f>
        <v>-28.3</v>
      </c>
      <c r="E13" s="16">
        <f>826.6-SUM(E11:E12)</f>
        <v>468.6</v>
      </c>
      <c r="F13" s="16">
        <f>-188.9-SUM(F11:F12)</f>
        <v>-161.9</v>
      </c>
      <c r="G13" s="16">
        <f>-180-619.7-SUM(G11:G12)</f>
        <v>-164.3</v>
      </c>
      <c r="H13" s="16">
        <f>I13-G13-D13-C13</f>
        <v>-252.4</v>
      </c>
      <c r="I13" s="16">
        <f>-1080.6-SUM(I11:I12)</f>
        <v>-479.6</v>
      </c>
      <c r="J13" s="16">
        <f>C13+D13+E13+F13</f>
        <v>243.8</v>
      </c>
      <c r="K13" s="16">
        <f>AVERAGE(J10:J13)</f>
        <v>192.075</v>
      </c>
      <c r="L13" s="16"/>
      <c r="M13" s="16">
        <f>-(I13-D13-C13)+M12</f>
        <v>2810.7</v>
      </c>
      <c r="N13" s="16"/>
    </row>
    <row r="14" ht="20.05" customHeight="1">
      <c r="A14" s="31"/>
      <c r="B14" s="15">
        <f>6280.1-SUM(B11:B13)</f>
        <v>1857.6</v>
      </c>
      <c r="C14" s="16">
        <f>-158.8-SUM(C11:C13)</f>
        <v>-48.2</v>
      </c>
      <c r="D14" s="16">
        <f>-111-SUM(D11:D13)</f>
        <v>-25.7</v>
      </c>
      <c r="E14" s="16">
        <f>1455-SUM(E11:E13)</f>
        <v>628.4</v>
      </c>
      <c r="F14" s="16">
        <f>-357.1-SUM(F11:F13)</f>
        <v>-168.2</v>
      </c>
      <c r="G14" s="16">
        <f>-782.2-180-SUM(G11:G13)</f>
        <v>-162.5</v>
      </c>
      <c r="H14" s="16">
        <f>I14-G14-D14-C14</f>
        <v>0</v>
      </c>
      <c r="I14" s="16">
        <f>-1317-SUM(I11:I13)</f>
        <v>-236.4</v>
      </c>
      <c r="J14" s="16">
        <f>C14+D14+E14+F14</f>
        <v>386.3</v>
      </c>
      <c r="K14" s="16">
        <f>AVERAGE(J11:J14)</f>
        <v>207.025</v>
      </c>
      <c r="L14" s="16">
        <f>K14</f>
        <v>207.025</v>
      </c>
      <c r="M14" s="16">
        <f>-(I14-D14-C14)+M13</f>
        <v>2973.2</v>
      </c>
      <c r="N14" s="16">
        <f>M14</f>
        <v>2973.2</v>
      </c>
    </row>
    <row r="15" ht="20.05" customHeight="1">
      <c r="A15" s="32">
        <v>2022</v>
      </c>
      <c r="B15" s="15"/>
      <c r="C15" s="16"/>
      <c r="D15" s="16"/>
      <c r="E15" s="16"/>
      <c r="F15" s="16"/>
      <c r="G15" s="16"/>
      <c r="H15" s="16"/>
      <c r="I15" s="16"/>
      <c r="J15" s="16"/>
      <c r="K15" s="18"/>
      <c r="L15" s="16">
        <f>SUM('Model'!F9:F11)</f>
        <v>470.104082697180</v>
      </c>
      <c r="M15" s="18"/>
      <c r="N15" s="16">
        <f>'Model'!F34</f>
        <v>4367.891419060080</v>
      </c>
    </row>
  </sheetData>
  <mergeCells count="1">
    <mergeCell ref="A1:N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1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79688" style="36" customWidth="1"/>
    <col min="2" max="2" width="12.5078" style="36" customWidth="1"/>
    <col min="3" max="11" width="8.78906" style="36" customWidth="1"/>
    <col min="12" max="16384" width="16.3516" style="36" customWidth="1"/>
  </cols>
  <sheetData>
    <row r="1" ht="33.05" customHeight="1"/>
    <row r="2" ht="27.65" customHeight="1">
      <c r="B2" t="s" s="2">
        <v>52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53</v>
      </c>
      <c r="D3" t="s" s="5">
        <v>54</v>
      </c>
      <c r="E3" t="s" s="5">
        <v>23</v>
      </c>
      <c r="F3" t="s" s="5">
        <v>24</v>
      </c>
      <c r="G3" t="s" s="5">
        <v>12</v>
      </c>
      <c r="H3" t="s" s="5">
        <v>13</v>
      </c>
      <c r="I3" t="s" s="5">
        <v>26</v>
      </c>
      <c r="J3" t="s" s="5">
        <v>55</v>
      </c>
      <c r="K3" t="s" s="5">
        <v>34</v>
      </c>
    </row>
    <row r="4" ht="20.25" customHeight="1">
      <c r="B4" s="27">
        <v>2019</v>
      </c>
      <c r="C4" s="34">
        <v>1464</v>
      </c>
      <c r="D4" s="35">
        <v>12266</v>
      </c>
      <c r="E4" s="35">
        <f>D4-C4</f>
        <v>10802</v>
      </c>
      <c r="F4" s="35"/>
      <c r="G4" s="35">
        <v>6515</v>
      </c>
      <c r="H4" s="35">
        <v>5751</v>
      </c>
      <c r="I4" s="35">
        <f>G4+H4-C4-E4</f>
        <v>0</v>
      </c>
      <c r="J4" s="35"/>
      <c r="K4" s="35"/>
    </row>
    <row r="5" ht="20.05" customHeight="1">
      <c r="B5" s="32">
        <v>2020</v>
      </c>
      <c r="C5" s="15">
        <v>1490</v>
      </c>
      <c r="D5" s="16">
        <v>12324</v>
      </c>
      <c r="E5" s="16">
        <f>D5-C5</f>
        <v>10834</v>
      </c>
      <c r="F5" s="16"/>
      <c r="G5" s="16">
        <v>5668</v>
      </c>
      <c r="H5" s="16">
        <v>6656</v>
      </c>
      <c r="I5" s="16">
        <f>G5+H5-C5-E5</f>
        <v>0</v>
      </c>
      <c r="J5" s="16">
        <f>C5-G5</f>
        <v>-4178</v>
      </c>
      <c r="K5" s="16"/>
    </row>
    <row r="6" ht="20.05" customHeight="1">
      <c r="B6" s="32">
        <v>2021</v>
      </c>
      <c r="C6" s="15">
        <v>1064</v>
      </c>
      <c r="D6" s="16">
        <v>11924</v>
      </c>
      <c r="E6" s="16">
        <f>D6-C6</f>
        <v>10860</v>
      </c>
      <c r="F6" s="16">
        <v>3131</v>
      </c>
      <c r="G6" s="16">
        <v>5124</v>
      </c>
      <c r="H6" s="16">
        <v>6800</v>
      </c>
      <c r="I6" s="16">
        <f>G6+H6-C6-E6</f>
        <v>0</v>
      </c>
      <c r="J6" s="16">
        <f>C6-G6</f>
        <v>-4060</v>
      </c>
      <c r="K6" s="16"/>
    </row>
    <row r="7" ht="20.05" customHeight="1">
      <c r="B7" s="31"/>
      <c r="C7" s="15">
        <v>1250</v>
      </c>
      <c r="D7" s="16">
        <v>12208</v>
      </c>
      <c r="E7" s="16">
        <f>D7-C7</f>
        <v>10958</v>
      </c>
      <c r="F7" s="16">
        <f>F6+'Sales'!D12</f>
        <v>3270</v>
      </c>
      <c r="G7" s="16">
        <v>5267</v>
      </c>
      <c r="H7" s="16">
        <v>6941</v>
      </c>
      <c r="I7" s="16">
        <f>G7+H7-C7-E7</f>
        <v>0</v>
      </c>
      <c r="J7" s="16">
        <f>C7-G7</f>
        <v>-4017</v>
      </c>
      <c r="K7" s="16"/>
    </row>
    <row r="8" ht="20.05" customHeight="1">
      <c r="B8" s="31"/>
      <c r="C8" s="15">
        <v>1047</v>
      </c>
      <c r="D8" s="16">
        <v>12004</v>
      </c>
      <c r="E8" s="16">
        <f>D8-C8</f>
        <v>10957</v>
      </c>
      <c r="F8" s="16">
        <f>3401+33+23</f>
        <v>3457</v>
      </c>
      <c r="G8" s="16">
        <v>4696</v>
      </c>
      <c r="H8" s="16">
        <v>7308</v>
      </c>
      <c r="I8" s="16">
        <f>G8+H8-C8-E8</f>
        <v>0</v>
      </c>
      <c r="J8" s="16">
        <f>C8-G8</f>
        <v>-3649</v>
      </c>
      <c r="K8" s="16">
        <f>J8</f>
        <v>-3649</v>
      </c>
    </row>
    <row r="9" ht="20.05" customHeight="1">
      <c r="B9" s="31"/>
      <c r="C9" s="15">
        <v>1280</v>
      </c>
      <c r="D9" s="16">
        <v>12446</v>
      </c>
      <c r="E9" s="16">
        <f>D9-C9</f>
        <v>11166</v>
      </c>
      <c r="F9" s="16">
        <f>25+34+3530</f>
        <v>3589</v>
      </c>
      <c r="G9" s="16">
        <v>4650</v>
      </c>
      <c r="H9" s="16">
        <v>7796</v>
      </c>
      <c r="I9" s="16">
        <f>G9+H9-C9-E9</f>
        <v>0</v>
      </c>
      <c r="J9" s="16">
        <f>C9-G9</f>
        <v>-3370</v>
      </c>
      <c r="K9" s="16">
        <f>J9</f>
        <v>-3370</v>
      </c>
    </row>
    <row r="10" ht="20.05" customHeight="1">
      <c r="B10" s="32">
        <v>2022</v>
      </c>
      <c r="C10" s="15"/>
      <c r="D10" s="16"/>
      <c r="E10" s="16"/>
      <c r="F10" s="16"/>
      <c r="G10" s="16"/>
      <c r="H10" s="16"/>
      <c r="I10" s="16"/>
      <c r="J10" s="16"/>
      <c r="K10" s="16">
        <f>'Model'!F32</f>
        <v>-2260.860543026470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375" style="37" customWidth="1"/>
    <col min="2" max="5" width="10.3047" style="37" customWidth="1"/>
    <col min="6" max="16384" width="16.3516" style="37" customWidth="1"/>
  </cols>
  <sheetData>
    <row r="1" ht="9.45" customHeight="1"/>
    <row r="2" ht="27.65" customHeight="1">
      <c r="B2" t="s" s="2">
        <v>56</v>
      </c>
      <c r="C2" s="2"/>
      <c r="D2" s="2"/>
      <c r="E2" s="2"/>
    </row>
    <row r="3" ht="32.25" customHeight="1">
      <c r="B3" s="38"/>
      <c r="C3" t="s" s="5">
        <v>57</v>
      </c>
      <c r="D3" t="s" s="5">
        <v>37</v>
      </c>
      <c r="E3" t="s" s="5">
        <v>58</v>
      </c>
    </row>
    <row r="4" ht="20.25" customHeight="1">
      <c r="B4" s="27">
        <v>2021</v>
      </c>
      <c r="C4" s="34">
        <v>270</v>
      </c>
      <c r="D4" s="35"/>
      <c r="E4" s="35"/>
    </row>
    <row r="5" ht="20.05" customHeight="1">
      <c r="B5" s="31"/>
      <c r="C5" s="15">
        <v>710</v>
      </c>
      <c r="D5" s="16"/>
      <c r="E5" s="16"/>
    </row>
    <row r="6" ht="20.05" customHeight="1">
      <c r="B6" s="31"/>
      <c r="C6" s="21">
        <v>700</v>
      </c>
      <c r="D6" s="18"/>
      <c r="E6" s="18"/>
    </row>
    <row r="7" ht="20.05" customHeight="1">
      <c r="B7" s="31"/>
      <c r="C7" s="21">
        <v>610</v>
      </c>
      <c r="D7" s="18"/>
      <c r="E7" s="18"/>
    </row>
    <row r="8" ht="20.05" customHeight="1">
      <c r="B8" s="32">
        <v>2022</v>
      </c>
      <c r="C8" s="19">
        <v>715</v>
      </c>
      <c r="D8" s="22">
        <f>C8</f>
        <v>715</v>
      </c>
      <c r="E8" s="16">
        <v>1105.117564844310</v>
      </c>
    </row>
    <row r="9" ht="20.05" customHeight="1">
      <c r="B9" s="31"/>
      <c r="C9" s="39"/>
      <c r="D9" s="16">
        <f>'Model'!F45</f>
        <v>1240.109449581440</v>
      </c>
      <c r="E9" s="18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