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 " sheetId="2" r:id="rId5"/>
    <sheet name="Cashflow " sheetId="3" r:id="rId6"/>
    <sheet name="Balance sheet " sheetId="4" r:id="rId7"/>
    <sheet name="Share price " sheetId="5" r:id="rId8"/>
    <sheet name="Capital" sheetId="6" r:id="rId9"/>
  </sheets>
</workbook>
</file>

<file path=xl/sharedStrings.xml><?xml version="1.0" encoding="utf-8"?>
<sst xmlns="http://schemas.openxmlformats.org/spreadsheetml/2006/main" uniqueCount="52">
  <si>
    <t>Financial 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</si>
  <si>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</si>
  <si>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</si>
  <si>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</si>
  <si>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</si>
  <si>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</si>
  <si>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</si>
  <si>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</si>
  <si>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</si>
  <si>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 xml:space="preserve">Investment 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</si>
  <si>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</si>
  <si>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</si>
  <si>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</si>
  <si>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</si>
  <si>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Finance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</si>
  <si>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</si>
  <si>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</si>
  <si>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</si>
  <si>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</si>
  <si>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</si>
  <si>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 xml:space="preserve">Balance sheet </t>
  </si>
  <si>
    <t xml:space="preserve">Other assets </t>
  </si>
  <si>
    <t xml:space="preserve">Depreciation </t>
  </si>
  <si>
    <t xml:space="preserve">Net other assets </t>
  </si>
  <si>
    <t>Check</t>
  </si>
  <si>
    <t xml:space="preserve">Net cash </t>
  </si>
  <si>
    <t xml:space="preserve">Valuation </t>
  </si>
  <si>
    <t>Capital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</si>
  <si>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</si>
  <si>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</si>
  <si>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</si>
  <si>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</si>
  <si>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</si>
  <si>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</si>
  <si>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</si>
  <si>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</si>
  <si>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</si>
  <si>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</si>
  <si>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 xml:space="preserve">V target </t>
  </si>
  <si>
    <t xml:space="preserve">Sales growth </t>
  </si>
  <si>
    <t>Data</t>
  </si>
  <si>
    <t xml:space="preserve">Receipts </t>
  </si>
  <si>
    <t>Equity</t>
  </si>
  <si>
    <t>Finance</t>
  </si>
  <si>
    <t>Free cashflow</t>
  </si>
  <si>
    <t>Balance sheet</t>
  </si>
  <si>
    <t>Cash</t>
  </si>
  <si>
    <t xml:space="preserve">Assets </t>
  </si>
  <si>
    <t xml:space="preserve">Check </t>
  </si>
  <si>
    <t>Share price</t>
  </si>
  <si>
    <t>SRTG</t>
  </si>
  <si>
    <t>Total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</si>
</sst>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0.0%"/>
    <numFmt numFmtId="61" formatCode="#,##0.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3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583239</xdr:colOff>
      <xdr:row>1</xdr:row>
      <xdr:rowOff>22587</xdr:rowOff>
    </xdr:from>
    <xdr:to>
      <xdr:col>12</xdr:col>
      <xdr:colOff>379730</xdr:colOff>
      <xdr:row>46</xdr:row>
      <xdr:rowOff>207735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812339" y="373742"/>
          <a:ext cx="8508692" cy="1164880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6.1484" style="1" customWidth="1"/>
    <col min="2" max="5" width="9.78906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s="4"/>
      <c r="E2" t="s" s="5">
        <v>2</v>
      </c>
    </row>
    <row r="3" ht="20.25" customHeight="1">
      <c r="A3" t="s" s="6">
        <v>3</v>
      </c>
      <c r="B3" s="7">
        <f>AVERAGE('Sales '!H24:H27)</f>
        <v>0.239760847178648</v>
      </c>
      <c r="C3" s="8"/>
      <c r="D3" s="8"/>
      <c r="E3" s="9">
        <f>AVERAGE(B4:E4)</f>
        <v>0.09</v>
      </c>
    </row>
    <row r="4" ht="20.05" customHeight="1">
      <c r="A4" t="s" s="10">
        <v>4</v>
      </c>
      <c r="B4" s="11">
        <v>-0.01</v>
      </c>
      <c r="C4" s="12">
        <v>0.4</v>
      </c>
      <c r="D4" s="13">
        <v>-0.01</v>
      </c>
      <c r="E4" s="13">
        <v>-0.02</v>
      </c>
    </row>
    <row r="5" ht="20.05" customHeight="1">
      <c r="A5" t="s" s="10">
        <v>5</v>
      </c>
      <c r="B5" s="14">
        <f>'Sales '!D27*(1+B4)</f>
        <v>412.11225</v>
      </c>
      <c r="C5" s="15">
        <f>B5*(1+C4)</f>
        <v>576.95715</v>
      </c>
      <c r="D5" s="15">
        <f>C5*(1+D4)</f>
        <v>571.1875785</v>
      </c>
      <c r="E5" s="15">
        <f>D5*(1+E4)</f>
        <v>559.7638269300001</v>
      </c>
    </row>
    <row r="6" ht="20.05" customHeight="1">
      <c r="A6" t="s" s="10">
        <v>6</v>
      </c>
      <c r="B6" s="16">
        <f>'Sales '!J22</f>
        <v>-0.80266016272731</v>
      </c>
      <c r="C6" s="17">
        <f>B6</f>
        <v>-0.80266016272731</v>
      </c>
      <c r="D6" s="17">
        <f>C6</f>
        <v>-0.80266016272731</v>
      </c>
      <c r="E6" s="17">
        <f>D6</f>
        <v>-0.80266016272731</v>
      </c>
    </row>
    <row r="7" ht="20.05" customHeight="1">
      <c r="A7" t="s" s="10">
        <v>7</v>
      </c>
      <c r="B7" s="14">
        <f>B5*B6</f>
        <v>-330.786085646918</v>
      </c>
      <c r="C7" s="15">
        <f>C5*C6</f>
        <v>-463.100519905685</v>
      </c>
      <c r="D7" s="15">
        <f>D5*D6</f>
        <v>-458.469514706628</v>
      </c>
      <c r="E7" s="15">
        <f>E5*E6</f>
        <v>-449.300124412496</v>
      </c>
    </row>
    <row r="8" ht="20.05" customHeight="1">
      <c r="A8" t="s" s="10">
        <v>8</v>
      </c>
      <c r="B8" s="14">
        <f>B5+B7</f>
        <v>81.32616435308201</v>
      </c>
      <c r="C8" s="15">
        <f>C5+C7</f>
        <v>113.856630094315</v>
      </c>
      <c r="D8" s="15">
        <f>D5+D7</f>
        <v>112.718063793372</v>
      </c>
      <c r="E8" s="15">
        <f>E5+E7</f>
        <v>110.463702517504</v>
      </c>
    </row>
    <row r="9" ht="20.05" customHeight="1">
      <c r="A9" t="s" s="10">
        <v>9</v>
      </c>
      <c r="B9" s="14">
        <f>'Cashflow '!E27</f>
        <v>0</v>
      </c>
      <c r="C9" s="15">
        <f>B9</f>
        <v>0</v>
      </c>
      <c r="D9" s="15">
        <f>C9</f>
        <v>0</v>
      </c>
      <c r="E9" s="15">
        <f>D9</f>
        <v>0</v>
      </c>
    </row>
    <row r="10" ht="20.05" customHeight="1">
      <c r="A10" t="s" s="10">
        <v>10</v>
      </c>
      <c r="B10" s="14">
        <f>-'Balance sheet '!G27/20</f>
        <v>-256.85</v>
      </c>
      <c r="C10" s="15">
        <f>-B25/20</f>
        <v>-244.0075</v>
      </c>
      <c r="D10" s="15">
        <f>-C25/20</f>
        <v>-231.807125</v>
      </c>
      <c r="E10" s="15">
        <f>-D25/20</f>
        <v>-220.21676875</v>
      </c>
    </row>
    <row r="11" ht="20.05" customHeight="1">
      <c r="A11" t="s" s="10">
        <v>11</v>
      </c>
      <c r="B11" s="14">
        <f>-IF(B20&gt;0,B20*0.3,0)</f>
        <v>-28.2978493059246</v>
      </c>
      <c r="C11" s="15">
        <f>-IF(C20&gt;0,C20*0.3,0)</f>
        <v>-38.0569890282945</v>
      </c>
      <c r="D11" s="15">
        <f>-IF(D20&gt;0,D20*0.3,0)</f>
        <v>-37.7154191380116</v>
      </c>
      <c r="E11" s="15">
        <f>-IF(E20&gt;0,E20*0.3,0)</f>
        <v>-37.0391107552512</v>
      </c>
    </row>
    <row r="12" ht="20.05" customHeight="1">
      <c r="A12" t="s" s="10">
        <v>12</v>
      </c>
      <c r="B12" s="14">
        <f>B8+B9+B10+B11</f>
        <v>-203.821684952843</v>
      </c>
      <c r="C12" s="15">
        <f>C8+C9+C10+C11</f>
        <v>-168.207858933980</v>
      </c>
      <c r="D12" s="15">
        <f>D8+D9+D10+D11</f>
        <v>-156.804480344640</v>
      </c>
      <c r="E12" s="15">
        <f>E8+E9+E10+E11</f>
        <v>-146.792176987747</v>
      </c>
    </row>
    <row r="13" ht="20.05" customHeight="1">
      <c r="A13" t="s" s="10">
        <v>13</v>
      </c>
      <c r="B13" s="14">
        <f>-MIN(0,B12)</f>
        <v>203.821684952843</v>
      </c>
      <c r="C13" s="15">
        <f>-MIN(B26,C12)</f>
        <v>168.207858933980</v>
      </c>
      <c r="D13" s="15">
        <f>-MIN(C26,D12)</f>
        <v>156.804480344640</v>
      </c>
      <c r="E13" s="15">
        <f>-MIN(D26,E12)</f>
        <v>146.792176987747</v>
      </c>
    </row>
    <row r="14" ht="20.05" customHeight="1">
      <c r="A14" t="s" s="10">
        <v>14</v>
      </c>
      <c r="B14" s="14">
        <f>B10+B11+B13</f>
        <v>-81.32616435308159</v>
      </c>
      <c r="C14" s="15">
        <f>C10+C11+C13</f>
        <v>-113.856630094315</v>
      </c>
      <c r="D14" s="15">
        <f>D10+D11+D13</f>
        <v>-112.718063793372</v>
      </c>
      <c r="E14" s="15">
        <f>E10+E11+E13</f>
        <v>-110.463702517504</v>
      </c>
    </row>
    <row r="15" ht="20.05" customHeight="1">
      <c r="A15" t="s" s="10">
        <v>15</v>
      </c>
      <c r="B15" s="14">
        <f>'Balance sheet '!C27</f>
        <v>462</v>
      </c>
      <c r="C15" s="15">
        <f>B17</f>
        <v>462</v>
      </c>
      <c r="D15" s="15">
        <f>C17</f>
        <v>462</v>
      </c>
      <c r="E15" s="15">
        <f>D17</f>
        <v>462</v>
      </c>
    </row>
    <row r="16" ht="20.05" customHeight="1">
      <c r="A16" t="s" s="10">
        <v>16</v>
      </c>
      <c r="B16" s="14">
        <f>B8+B9+B14</f>
        <v>4e-13</v>
      </c>
      <c r="C16" s="15">
        <f>C8+C9+C14</f>
        <v>0</v>
      </c>
      <c r="D16" s="15">
        <f>D8+D9+D14</f>
        <v>0</v>
      </c>
      <c r="E16" s="15">
        <f>E8+E9+E14</f>
        <v>0</v>
      </c>
    </row>
    <row r="17" ht="20.05" customHeight="1">
      <c r="A17" t="s" s="10">
        <v>17</v>
      </c>
      <c r="B17" s="14">
        <f>B15+B16</f>
        <v>462</v>
      </c>
      <c r="C17" s="15">
        <f>C15+C16</f>
        <v>462</v>
      </c>
      <c r="D17" s="15">
        <f>D15+D16</f>
        <v>462</v>
      </c>
      <c r="E17" s="15">
        <f>E15+E16</f>
        <v>462</v>
      </c>
    </row>
    <row r="18" ht="20.05" customHeight="1">
      <c r="A18" t="s" s="18">
        <v>18</v>
      </c>
      <c r="B18" s="19"/>
      <c r="C18" s="20"/>
      <c r="D18" s="20"/>
      <c r="E18" s="20"/>
    </row>
    <row r="19" ht="20.05" customHeight="1">
      <c r="A19" t="s" s="10">
        <v>19</v>
      </c>
      <c r="B19" s="14">
        <f>-'Sales '!F27</f>
        <v>13</v>
      </c>
      <c r="C19" s="15">
        <f>B19</f>
        <v>13</v>
      </c>
      <c r="D19" s="15">
        <f>C19</f>
        <v>13</v>
      </c>
      <c r="E19" s="15">
        <f>D19</f>
        <v>13</v>
      </c>
    </row>
    <row r="20" ht="20.05" customHeight="1">
      <c r="A20" t="s" s="10">
        <v>18</v>
      </c>
      <c r="B20" s="14">
        <f>B5+B7+B19</f>
        <v>94.32616435308201</v>
      </c>
      <c r="C20" s="15">
        <f>C5+C7+C19</f>
        <v>126.856630094315</v>
      </c>
      <c r="D20" s="15">
        <f>D5+D7+D19</f>
        <v>125.718063793372</v>
      </c>
      <c r="E20" s="15">
        <f>E5+E7+E19</f>
        <v>123.463702517504</v>
      </c>
    </row>
    <row r="21" ht="20.05" customHeight="1">
      <c r="A21" t="s" s="18">
        <v>20</v>
      </c>
      <c r="B21" s="19"/>
      <c r="C21" s="20"/>
      <c r="D21" s="20"/>
      <c r="E21" s="20"/>
    </row>
    <row r="22" ht="20.05" customHeight="1">
      <c r="A22" t="s" s="10">
        <v>21</v>
      </c>
      <c r="B22" s="14">
        <f>'Balance sheet '!E27+'Balance sheet '!F27-B9</f>
        <v>60690</v>
      </c>
      <c r="C22" s="15">
        <f>B22-C9</f>
        <v>60690</v>
      </c>
      <c r="D22" s="15">
        <f>C22-D9</f>
        <v>60690</v>
      </c>
      <c r="E22" s="15">
        <f>D22-E9</f>
        <v>60690</v>
      </c>
    </row>
    <row r="23" ht="20.05" customHeight="1">
      <c r="A23" t="s" s="10">
        <v>22</v>
      </c>
      <c r="B23" s="14">
        <f>'Balance sheet '!F27-B19</f>
        <v>-13</v>
      </c>
      <c r="C23" s="15">
        <f>B23-C19</f>
        <v>-26</v>
      </c>
      <c r="D23" s="15">
        <f>C23-D19</f>
        <v>-39</v>
      </c>
      <c r="E23" s="15">
        <f>D23-E19</f>
        <v>-52</v>
      </c>
    </row>
    <row r="24" ht="20.05" customHeight="1">
      <c r="A24" t="s" s="10">
        <v>23</v>
      </c>
      <c r="B24" s="14">
        <f>B22-B23</f>
        <v>60703</v>
      </c>
      <c r="C24" s="15">
        <f>C22-C23</f>
        <v>60716</v>
      </c>
      <c r="D24" s="15">
        <f>D22-D23</f>
        <v>60729</v>
      </c>
      <c r="E24" s="15">
        <f>E22-E23</f>
        <v>60742</v>
      </c>
    </row>
    <row r="25" ht="20.05" customHeight="1">
      <c r="A25" t="s" s="10">
        <v>10</v>
      </c>
      <c r="B25" s="14">
        <f>'Balance sheet '!G27+B10</f>
        <v>4880.15</v>
      </c>
      <c r="C25" s="15">
        <f>B25+C10</f>
        <v>4636.1425</v>
      </c>
      <c r="D25" s="15">
        <f>C25+D10</f>
        <v>4404.335375</v>
      </c>
      <c r="E25" s="15">
        <f>D25+E10</f>
        <v>4184.11860625</v>
      </c>
    </row>
    <row r="26" ht="20.05" customHeight="1">
      <c r="A26" t="s" s="10">
        <v>13</v>
      </c>
      <c r="B26" s="14">
        <f>B13</f>
        <v>203.821684952843</v>
      </c>
      <c r="C26" s="15">
        <f>B26+C13</f>
        <v>372.029543886823</v>
      </c>
      <c r="D26" s="15">
        <f>C26+D13</f>
        <v>528.834024231463</v>
      </c>
      <c r="E26" s="15">
        <f>D26+E13</f>
        <v>675.626201219210</v>
      </c>
    </row>
    <row r="27" ht="20.05" customHeight="1">
      <c r="A27" t="s" s="10">
        <v>11</v>
      </c>
      <c r="B27" s="14">
        <f>'Balance sheet '!H27+B20+B11</f>
        <v>56081.0283150472</v>
      </c>
      <c r="C27" s="15">
        <f>B27+C20+C11</f>
        <v>56169.8279561132</v>
      </c>
      <c r="D27" s="15">
        <f>C27+D20+D11</f>
        <v>56257.8306007686</v>
      </c>
      <c r="E27" s="15">
        <f>D27+E20+E11</f>
        <v>56344.2551925309</v>
      </c>
    </row>
    <row r="28" ht="20.05" customHeight="1">
      <c r="A28" t="s" s="10">
        <v>24</v>
      </c>
      <c r="B28" s="14">
        <f>B25+B26+B27-B17-B24</f>
        <v>4.3e-11</v>
      </c>
      <c r="C28" s="15">
        <f>C25+C26+C27-C17-C24</f>
        <v>2.3e-11</v>
      </c>
      <c r="D28" s="15">
        <f>D25+D26+D27-D17-D24</f>
        <v>6.3e-11</v>
      </c>
      <c r="E28" s="15">
        <f>E25+E26+E27-E17-E24</f>
        <v>1.1e-10</v>
      </c>
    </row>
    <row r="29" ht="20.05" customHeight="1">
      <c r="A29" t="s" s="10">
        <v>25</v>
      </c>
      <c r="B29" s="14">
        <f>B17-B25-B26</f>
        <v>-4621.971684952840</v>
      </c>
      <c r="C29" s="15">
        <f>C17-C25-C26</f>
        <v>-4546.172043886820</v>
      </c>
      <c r="D29" s="15">
        <f>D17-D25-D26</f>
        <v>-4471.169399231460</v>
      </c>
      <c r="E29" s="15">
        <f>E17-E25-E26</f>
        <v>-4397.744807469210</v>
      </c>
    </row>
    <row r="30" ht="20.05" customHeight="1">
      <c r="A30" t="s" s="18">
        <v>26</v>
      </c>
      <c r="B30" s="19"/>
      <c r="C30" s="20"/>
      <c r="D30" s="20"/>
      <c r="E30" s="20"/>
    </row>
    <row r="31" ht="20.05" customHeight="1">
      <c r="A31" t="s" s="10">
        <v>27</v>
      </c>
      <c r="B31" s="14">
        <f>-(B10+B11)+'Cashflow '!L27</f>
        <v>-1026.878150694080</v>
      </c>
      <c r="C31" s="15">
        <f>-(C10+C11)+B31</f>
        <v>-744.813661665786</v>
      </c>
      <c r="D31" s="15">
        <f>-(D10+D11)+C31</f>
        <v>-475.291117527774</v>
      </c>
      <c r="E31" s="15">
        <f>-(E10+E11)+D31</f>
        <v>-218.035238022523</v>
      </c>
    </row>
    <row r="32" ht="20.05" customHeight="1">
      <c r="A32" t="s" s="10">
        <v>28</v>
      </c>
      <c r="B32" s="19"/>
      <c r="C32" s="20"/>
      <c r="D32" s="20"/>
      <c r="E32" s="15">
        <v>37252547911680</v>
      </c>
    </row>
    <row r="33" ht="20.05" customHeight="1">
      <c r="A33" t="s" s="10">
        <v>28</v>
      </c>
      <c r="B33" s="19"/>
      <c r="C33" s="20"/>
      <c r="D33" s="20"/>
      <c r="E33" s="15">
        <f>E32/1000000000</f>
        <v>37252.54791168</v>
      </c>
    </row>
    <row r="34" ht="20.05" customHeight="1">
      <c r="A34" t="s" s="10">
        <v>29</v>
      </c>
      <c r="B34" s="19"/>
      <c r="C34" s="20"/>
      <c r="D34" s="20"/>
      <c r="E34" s="21">
        <f>E33/(E17+E24)</f>
        <v>0.6086619814338931</v>
      </c>
    </row>
    <row r="35" ht="20.05" customHeight="1">
      <c r="A35" t="s" s="10">
        <v>30</v>
      </c>
      <c r="B35" s="19"/>
      <c r="C35" s="20"/>
      <c r="D35" s="20"/>
      <c r="E35" s="17">
        <f>-(B11+C11+D11+E11)/E33</f>
        <v>0.00378791186476775</v>
      </c>
    </row>
    <row r="36" ht="20.05" customHeight="1">
      <c r="A36" t="s" s="10">
        <v>31</v>
      </c>
      <c r="B36" s="19"/>
      <c r="C36" s="20"/>
      <c r="D36" s="20"/>
      <c r="E36" s="15">
        <f>SUM(B8:E9)</f>
        <v>418.364560758273</v>
      </c>
    </row>
    <row r="37" ht="20.05" customHeight="1">
      <c r="A37" t="s" s="10">
        <v>32</v>
      </c>
      <c r="B37" s="19"/>
      <c r="C37" s="20"/>
      <c r="D37" s="20"/>
      <c r="E37" s="15">
        <f>'Balance sheet '!E27/E36</f>
        <v>145.064868520415</v>
      </c>
    </row>
    <row r="38" ht="20.05" customHeight="1">
      <c r="A38" t="s" s="10">
        <v>26</v>
      </c>
      <c r="B38" s="19"/>
      <c r="C38" s="20"/>
      <c r="D38" s="20"/>
      <c r="E38" s="15">
        <f>E33/E36</f>
        <v>89.043268493299</v>
      </c>
    </row>
    <row r="39" ht="20.05" customHeight="1">
      <c r="A39" t="s" s="10">
        <v>33</v>
      </c>
      <c r="B39" s="19"/>
      <c r="C39" s="20"/>
      <c r="D39" s="20"/>
      <c r="E39" s="22">
        <v>50</v>
      </c>
    </row>
    <row r="40" ht="20.05" customHeight="1">
      <c r="A40" t="s" s="10">
        <v>34</v>
      </c>
      <c r="B40" s="19"/>
      <c r="C40" s="20"/>
      <c r="D40" s="20"/>
      <c r="E40" s="15">
        <f>E36*E39</f>
        <v>20918.2280379137</v>
      </c>
    </row>
    <row r="41" ht="20.05" customHeight="1">
      <c r="A41" t="s" s="10">
        <v>35</v>
      </c>
      <c r="B41" s="19"/>
      <c r="C41" s="20"/>
      <c r="D41" s="20"/>
      <c r="E41" s="15">
        <f>E33/E43</f>
        <v>13.497299968</v>
      </c>
    </row>
    <row r="42" ht="20.05" customHeight="1">
      <c r="A42" t="s" s="10">
        <v>36</v>
      </c>
      <c r="B42" s="19"/>
      <c r="C42" s="20"/>
      <c r="D42" s="20"/>
      <c r="E42" s="15">
        <f>E40/E41</f>
        <v>1549.808338520120</v>
      </c>
    </row>
    <row r="43" ht="20.05" customHeight="1">
      <c r="A43" t="s" s="10">
        <v>37</v>
      </c>
      <c r="B43" s="19"/>
      <c r="C43" s="20"/>
      <c r="D43" s="20"/>
      <c r="E43" s="15">
        <v>2760</v>
      </c>
    </row>
    <row r="44" ht="20.05" customHeight="1">
      <c r="A44" t="s" s="10">
        <v>38</v>
      </c>
      <c r="B44" s="19"/>
      <c r="C44" s="20"/>
      <c r="D44" s="20"/>
      <c r="E44" s="17">
        <f>E42/E43-1</f>
        <v>-0.438475239666623</v>
      </c>
    </row>
    <row r="45" ht="20.05" customHeight="1">
      <c r="A45" t="s" s="10">
        <v>39</v>
      </c>
      <c r="B45" s="19"/>
      <c r="C45" s="20"/>
      <c r="D45" s="20"/>
      <c r="E45" s="17">
        <f>'Sales '!D27/'Sales '!D23-1</f>
        <v>1.1468540484786</v>
      </c>
    </row>
    <row r="46" ht="20.05" customHeight="1">
      <c r="A46" t="s" s="10">
        <v>33</v>
      </c>
      <c r="B46" s="19"/>
      <c r="C46" s="20"/>
      <c r="D46" s="20"/>
      <c r="E46" s="17">
        <f>'Sales '!E27/'Sales '!D27-1</f>
        <v>-0.391571597301464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80469" style="23" customWidth="1"/>
    <col min="2" max="2" width="11.9453" style="23" customWidth="1"/>
    <col min="3" max="11" width="11.7031" style="23" customWidth="1"/>
    <col min="12" max="16384" width="16.3516" style="23" customWidth="1"/>
  </cols>
  <sheetData>
    <row r="1" ht="40.65" customHeight="1"/>
    <row r="2" ht="27.65" customHeight="1">
      <c r="B2" t="s" s="2">
        <v>40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5</v>
      </c>
      <c r="E3" t="s" s="5">
        <v>33</v>
      </c>
      <c r="F3" t="s" s="5">
        <v>19</v>
      </c>
      <c r="G3" t="s" s="5">
        <v>18</v>
      </c>
      <c r="H3" t="s" s="5">
        <v>39</v>
      </c>
      <c r="I3" t="s" s="5">
        <v>6</v>
      </c>
      <c r="J3" t="s" s="5">
        <v>6</v>
      </c>
      <c r="K3" t="s" s="5">
        <v>33</v>
      </c>
    </row>
    <row r="4" ht="20.25" customHeight="1">
      <c r="B4" s="24">
        <v>2010</v>
      </c>
      <c r="C4" s="25"/>
      <c r="D4" s="26"/>
      <c r="E4" s="26"/>
      <c r="F4" s="26"/>
      <c r="G4" s="26"/>
      <c r="H4" s="26"/>
      <c r="I4" s="26"/>
      <c r="J4" s="26"/>
      <c r="K4" s="26"/>
    </row>
    <row r="5" ht="20.05" customHeight="1">
      <c r="B5" s="27">
        <v>2011</v>
      </c>
      <c r="C5" s="14"/>
      <c r="D5" s="15"/>
      <c r="E5" s="15"/>
      <c r="F5" s="15"/>
      <c r="G5" s="15"/>
      <c r="H5" s="15"/>
      <c r="I5" s="15"/>
      <c r="J5" s="15"/>
      <c r="K5" s="15"/>
    </row>
    <row r="6" ht="20.05" customHeight="1">
      <c r="B6" s="27">
        <v>2012</v>
      </c>
      <c r="C6" s="14">
        <v>2358.1</v>
      </c>
      <c r="D6" s="15"/>
      <c r="E6" s="15"/>
      <c r="F6" s="15">
        <v>94.7</v>
      </c>
      <c r="G6" s="15">
        <v>1910.9</v>
      </c>
      <c r="H6" s="15"/>
      <c r="I6" s="15"/>
      <c r="J6" s="15"/>
      <c r="K6" s="15"/>
    </row>
    <row r="7" ht="20.05" customHeight="1">
      <c r="B7" s="27">
        <v>2013</v>
      </c>
      <c r="C7" s="14">
        <v>3658.8</v>
      </c>
      <c r="D7" s="15"/>
      <c r="E7" s="15"/>
      <c r="F7" s="15">
        <v>713.8</v>
      </c>
      <c r="G7" s="15">
        <v>349.1</v>
      </c>
      <c r="H7" s="15"/>
      <c r="I7" s="15"/>
      <c r="J7" s="15"/>
      <c r="K7" s="15"/>
    </row>
    <row r="8" ht="20.05" customHeight="1">
      <c r="B8" s="27">
        <v>2014</v>
      </c>
      <c r="C8" s="14">
        <v>6123.9</v>
      </c>
      <c r="D8" s="15"/>
      <c r="E8" s="15"/>
      <c r="F8" s="15">
        <v>238.9</v>
      </c>
      <c r="G8" s="15">
        <v>886.3</v>
      </c>
      <c r="H8" s="15"/>
      <c r="I8" s="15"/>
      <c r="J8" s="15"/>
      <c r="K8" s="15"/>
    </row>
    <row r="9" ht="20.05" customHeight="1">
      <c r="B9" s="27">
        <v>2015</v>
      </c>
      <c r="C9" s="14">
        <v>4282.3</v>
      </c>
      <c r="D9" s="15"/>
      <c r="E9" s="15"/>
      <c r="F9" s="15">
        <v>-781.3</v>
      </c>
      <c r="G9" s="15">
        <v>1451.6</v>
      </c>
      <c r="H9" s="15"/>
      <c r="I9" s="15"/>
      <c r="J9" s="15"/>
      <c r="K9" s="15"/>
    </row>
    <row r="10" ht="20.05" customHeight="1">
      <c r="B10" s="27">
        <v>2016</v>
      </c>
      <c r="C10" s="14">
        <v>793.4</v>
      </c>
      <c r="D10" s="15"/>
      <c r="E10" s="15"/>
      <c r="F10" s="15">
        <v>34</v>
      </c>
      <c r="G10" s="15">
        <v>5703.4</v>
      </c>
      <c r="H10" s="15"/>
      <c r="I10" s="15"/>
      <c r="J10" s="15"/>
      <c r="K10" s="15"/>
    </row>
    <row r="11" ht="20.05" customHeight="1">
      <c r="B11" s="27">
        <v>2017</v>
      </c>
      <c r="C11" s="14">
        <v>1573.6</v>
      </c>
      <c r="D11" s="15"/>
      <c r="E11" s="15"/>
      <c r="F11" s="15">
        <v>30.5</v>
      </c>
      <c r="G11" s="15">
        <v>3161.6</v>
      </c>
      <c r="H11" s="15"/>
      <c r="I11" s="15"/>
      <c r="J11" s="15"/>
      <c r="K11" s="15"/>
    </row>
    <row r="12" ht="20.05" customHeight="1">
      <c r="B12" s="27">
        <v>2018</v>
      </c>
      <c r="C12" s="14">
        <v>1.9</v>
      </c>
      <c r="D12" s="15"/>
      <c r="E12" s="15"/>
      <c r="F12" s="15">
        <v>62.6</v>
      </c>
      <c r="G12" s="15">
        <v>-270.2</v>
      </c>
      <c r="H12" s="17"/>
      <c r="I12" s="17"/>
      <c r="J12" s="17"/>
      <c r="K12" s="15"/>
    </row>
    <row r="13" ht="20.05" customHeight="1">
      <c r="B13" s="28"/>
      <c r="C13" s="14">
        <v>635.3</v>
      </c>
      <c r="D13" s="17"/>
      <c r="E13" s="17"/>
      <c r="F13" s="15">
        <v>-3.4</v>
      </c>
      <c r="G13" s="15">
        <v>-931.7</v>
      </c>
      <c r="H13" s="17"/>
      <c r="I13" s="17"/>
      <c r="J13" s="17"/>
      <c r="K13" s="15"/>
    </row>
    <row r="14" ht="20.05" customHeight="1">
      <c r="B14" s="28"/>
      <c r="C14" s="14">
        <v>174.6</v>
      </c>
      <c r="D14" s="15">
        <f>AVERAGE(C11:C14)</f>
        <v>596.35</v>
      </c>
      <c r="E14" s="17"/>
      <c r="F14" s="15">
        <v>99.59999999999999</v>
      </c>
      <c r="G14" s="15">
        <v>285.1</v>
      </c>
      <c r="H14" s="17"/>
      <c r="I14" s="17"/>
      <c r="J14" s="17"/>
      <c r="K14" s="15"/>
    </row>
    <row r="15" ht="20.05" customHeight="1">
      <c r="B15" s="28"/>
      <c r="C15" s="14">
        <v>350</v>
      </c>
      <c r="D15" s="15">
        <f>AVERAGE(C12:C15)</f>
        <v>290.45</v>
      </c>
      <c r="E15" s="17"/>
      <c r="F15" s="15">
        <v>-67.2</v>
      </c>
      <c r="G15" s="15">
        <v>-5218</v>
      </c>
      <c r="H15" s="17"/>
      <c r="I15" s="17">
        <f>('Cashflow '!D15-'Cashflow '!C15)/'Cashflow '!C15</f>
        <v>-2.8639218422889</v>
      </c>
      <c r="J15" s="17">
        <f>AVERAGE(I12:I15)</f>
        <v>-2.8639218422889</v>
      </c>
      <c r="K15" s="15"/>
    </row>
    <row r="16" ht="20.05" customHeight="1">
      <c r="B16" s="27">
        <v>2019</v>
      </c>
      <c r="C16" s="14">
        <v>6.6</v>
      </c>
      <c r="D16" s="15">
        <f>AVERAGE(C13:C16)</f>
        <v>291.625</v>
      </c>
      <c r="E16" s="17"/>
      <c r="F16" s="15">
        <v>-6.9</v>
      </c>
      <c r="G16" s="15">
        <v>1127.3</v>
      </c>
      <c r="H16" s="17">
        <f>D16/D15-1</f>
        <v>0.00404544672060596</v>
      </c>
      <c r="I16" s="17">
        <f>('Cashflow '!D16-'Cashflow '!C16)/'Cashflow '!C16</f>
        <v>-2.3272239606616</v>
      </c>
      <c r="J16" s="17">
        <f>AVERAGE(I13:I16)</f>
        <v>-2.59557290147525</v>
      </c>
      <c r="K16" s="15"/>
    </row>
    <row r="17" ht="20.05" customHeight="1">
      <c r="B17" s="28"/>
      <c r="C17" s="14">
        <v>1633.3</v>
      </c>
      <c r="D17" s="15">
        <f>AVERAGE(C14:C17)</f>
        <v>541.125</v>
      </c>
      <c r="E17" s="17"/>
      <c r="F17" s="15">
        <v>-41.8</v>
      </c>
      <c r="G17" s="15">
        <v>2042.6</v>
      </c>
      <c r="H17" s="17">
        <f>D17/D16-1</f>
        <v>0.855550792970424</v>
      </c>
      <c r="I17" s="17">
        <f>('Cashflow '!D17-'Cashflow '!C17)/'Cashflow '!C17</f>
        <v>-0.153574744661096</v>
      </c>
      <c r="J17" s="17">
        <f>AVERAGE(I14:I17)</f>
        <v>-1.78157351587053</v>
      </c>
      <c r="K17" s="15"/>
    </row>
    <row r="18" ht="20.05" customHeight="1">
      <c r="B18" s="28"/>
      <c r="C18" s="14">
        <v>53.7</v>
      </c>
      <c r="D18" s="15">
        <f>AVERAGE(C15:C18)</f>
        <v>510.9</v>
      </c>
      <c r="E18" s="17"/>
      <c r="F18" s="15">
        <v>65.59999999999999</v>
      </c>
      <c r="G18" s="15">
        <v>3846.1</v>
      </c>
      <c r="H18" s="17">
        <f>D18/D17-1</f>
        <v>-0.0558558558558559</v>
      </c>
      <c r="I18" s="17">
        <f>('Cashflow '!D18-'Cashflow '!C18)/'Cashflow '!C18</f>
        <v>-1.65982404692082</v>
      </c>
      <c r="J18" s="17">
        <f>AVERAGE(I15:I18)</f>
        <v>-1.7511361486331</v>
      </c>
      <c r="K18" s="15"/>
    </row>
    <row r="19" ht="20.05" customHeight="1">
      <c r="B19" s="28"/>
      <c r="C19" s="14">
        <v>328</v>
      </c>
      <c r="D19" s="15">
        <f>AVERAGE(C16:C19)</f>
        <v>505.4</v>
      </c>
      <c r="E19" s="17"/>
      <c r="F19" s="15">
        <v>-39.2</v>
      </c>
      <c r="G19" s="15">
        <v>328.1</v>
      </c>
      <c r="H19" s="17">
        <f>D19/D18-1</f>
        <v>-0.0107653161088276</v>
      </c>
      <c r="I19" s="17">
        <f>('Cashflow '!D19-'Cashflow '!C19)/'Cashflow '!C19</f>
        <v>-1.18984480940184</v>
      </c>
      <c r="J19" s="17">
        <f>AVERAGE(I16:I19)</f>
        <v>-1.33261689041134</v>
      </c>
      <c r="K19" s="15"/>
    </row>
    <row r="20" ht="20.05" customHeight="1">
      <c r="B20" s="27">
        <v>2020</v>
      </c>
      <c r="C20" s="14">
        <v>4.1</v>
      </c>
      <c r="D20" s="15">
        <f>AVERAGE(C17:C20)</f>
        <v>504.775</v>
      </c>
      <c r="E20" s="17"/>
      <c r="F20" s="15">
        <v>352</v>
      </c>
      <c r="G20" s="15">
        <v>-6016.5</v>
      </c>
      <c r="H20" s="17">
        <f>D20/D19-1</f>
        <v>-0.00123664424218441</v>
      </c>
      <c r="I20" s="17">
        <f>('Cashflow '!D20-'Cashflow '!C20)/'Cashflow '!C20</f>
        <v>-1.03107520198881</v>
      </c>
      <c r="J20" s="17">
        <f>AVERAGE(I17:I20)</f>
        <v>-1.00857970074314</v>
      </c>
      <c r="K20" s="15"/>
    </row>
    <row r="21" ht="20.05" customHeight="1">
      <c r="B21" s="28"/>
      <c r="C21" s="14">
        <v>644.7</v>
      </c>
      <c r="D21" s="15">
        <f>AVERAGE(C18:C21)</f>
        <v>257.625</v>
      </c>
      <c r="E21" s="17"/>
      <c r="F21" s="15">
        <v>-264.3</v>
      </c>
      <c r="G21" s="15">
        <v>6014.4</v>
      </c>
      <c r="H21" s="17">
        <f>D21/D20-1</f>
        <v>-0.489624089941063</v>
      </c>
      <c r="I21" s="17">
        <f>('Cashflow '!D21-'Cashflow '!C21)/'Cashflow '!C21</f>
        <v>-0.217923823749066</v>
      </c>
      <c r="J21" s="17">
        <f>AVERAGE(I18:I21)</f>
        <v>-1.02466697051513</v>
      </c>
      <c r="K21" s="15"/>
    </row>
    <row r="22" ht="20.05" customHeight="1">
      <c r="B22" s="28"/>
      <c r="C22" s="14">
        <v>15.1</v>
      </c>
      <c r="D22" s="15">
        <f>AVERAGE(C19:C22)</f>
        <v>247.975</v>
      </c>
      <c r="E22" s="17"/>
      <c r="F22" s="15">
        <v>81</v>
      </c>
      <c r="G22" s="15">
        <v>1200.4</v>
      </c>
      <c r="H22" s="17">
        <f>D22/D21-1</f>
        <v>-0.0374575448811257</v>
      </c>
      <c r="I22" s="17">
        <f>('Cashflow '!D22-'Cashflow '!C22)/'Cashflow '!C22</f>
        <v>-0.771796815769522</v>
      </c>
      <c r="J22" s="17">
        <f>AVERAGE(I19:I22)</f>
        <v>-0.80266016272731</v>
      </c>
      <c r="K22" s="15"/>
    </row>
    <row r="23" ht="20.05" customHeight="1">
      <c r="B23" s="28"/>
      <c r="C23" s="14">
        <v>111.7</v>
      </c>
      <c r="D23" s="15">
        <f>AVERAGE(C20:C23)</f>
        <v>193.9</v>
      </c>
      <c r="E23" s="17"/>
      <c r="F23" s="15">
        <v>-109</v>
      </c>
      <c r="G23" s="15">
        <v>7625</v>
      </c>
      <c r="H23" s="17">
        <f>D23/D22-1</f>
        <v>-0.218066337332392</v>
      </c>
      <c r="I23" s="17">
        <f>('Cashflow '!D23-'Cashflow '!C23)/'Cashflow '!C23</f>
        <v>-2.54783258594918</v>
      </c>
      <c r="J23" s="17">
        <f>AVERAGE(I20:I23)</f>
        <v>-1.14215710686414</v>
      </c>
      <c r="K23" s="15"/>
    </row>
    <row r="24" ht="20.05" customHeight="1">
      <c r="B24" s="27">
        <v>2021</v>
      </c>
      <c r="C24" s="14">
        <v>1.7</v>
      </c>
      <c r="D24" s="15">
        <f>AVERAGE(C21:C24)</f>
        <v>193.3</v>
      </c>
      <c r="E24" s="17"/>
      <c r="F24" s="15">
        <v>63.2</v>
      </c>
      <c r="G24" s="15">
        <v>1157.2</v>
      </c>
      <c r="H24" s="17">
        <f>D24/D23-1</f>
        <v>-0.00309437854564208</v>
      </c>
      <c r="I24" s="17">
        <f>('Cashflow '!D24-'Cashflow '!C24)/'Cashflow '!C24</f>
        <v>-7.68432203389831</v>
      </c>
      <c r="J24" s="17">
        <f>AVERAGE(I21:I24)</f>
        <v>-2.80546881484152</v>
      </c>
      <c r="K24" s="15"/>
    </row>
    <row r="25" ht="20.05" customHeight="1">
      <c r="B25" s="28"/>
      <c r="C25" s="14">
        <v>869.9</v>
      </c>
      <c r="D25" s="15">
        <f>AVERAGE(C22:C25)</f>
        <v>249.6</v>
      </c>
      <c r="E25" s="17"/>
      <c r="F25" s="15">
        <v>-10</v>
      </c>
      <c r="G25" s="15">
        <v>-1141.9</v>
      </c>
      <c r="H25" s="17">
        <f>D25/D24-1</f>
        <v>0.291257113295396</v>
      </c>
      <c r="I25" s="17">
        <f>('Cashflow '!D25-'Cashflow '!C25)/'Cashflow '!C25</f>
        <v>-0.375862068965517</v>
      </c>
      <c r="J25" s="17">
        <f>AVERAGE(I22:I25)</f>
        <v>-2.84495337614563</v>
      </c>
      <c r="K25" s="15"/>
    </row>
    <row r="26" ht="20.05" customHeight="1">
      <c r="B26" s="28"/>
      <c r="C26" s="14">
        <v>10.5</v>
      </c>
      <c r="D26" s="15">
        <f>AVERAGE(C23:C26)</f>
        <v>248.45</v>
      </c>
      <c r="E26" s="29"/>
      <c r="F26" s="15">
        <v>-27.3</v>
      </c>
      <c r="G26" s="15">
        <v>14056.5</v>
      </c>
      <c r="H26" s="17">
        <f>D26/D25-1</f>
        <v>-0.00460737179487179</v>
      </c>
      <c r="I26" s="17">
        <f>('Cashflow '!D26-'Cashflow '!C26)/'Cashflow '!C26</f>
        <v>-11.2145214521452</v>
      </c>
      <c r="J26" s="17">
        <f>AVERAGE(I23:I26)</f>
        <v>-5.45563453523955</v>
      </c>
      <c r="K26" s="15"/>
    </row>
    <row r="27" ht="20.05" customHeight="1">
      <c r="B27" s="28"/>
      <c r="C27" s="14">
        <v>783</v>
      </c>
      <c r="D27" s="15">
        <f>AVERAGE(C24:C27)</f>
        <v>416.275</v>
      </c>
      <c r="E27" s="15">
        <v>253.273533333333</v>
      </c>
      <c r="F27" s="15">
        <v>-13</v>
      </c>
      <c r="G27" s="15">
        <v>10820</v>
      </c>
      <c r="H27" s="17">
        <f>D27/D26-1</f>
        <v>0.67548802575971</v>
      </c>
      <c r="I27" s="17">
        <f>('Cashflow '!D27-'Cashflow '!C27)/'Cashflow '!C27</f>
        <v>-2.92768697374938</v>
      </c>
      <c r="J27" s="17">
        <f>AVERAGE(I24:I27)</f>
        <v>-5.5505981321896</v>
      </c>
      <c r="K27" s="17">
        <f>J27</f>
        <v>-5.5505981321896</v>
      </c>
    </row>
    <row r="28" ht="20.05" customHeight="1">
      <c r="B28" s="27">
        <v>2022</v>
      </c>
      <c r="C28" s="14"/>
      <c r="D28" s="15"/>
      <c r="E28" s="15">
        <f>'Model'!B5</f>
        <v>412.11225</v>
      </c>
      <c r="F28" s="15"/>
      <c r="G28" s="15"/>
      <c r="H28" s="15"/>
      <c r="I28" s="15"/>
      <c r="J28" s="15"/>
      <c r="K28" s="17">
        <f>'Model'!B6</f>
        <v>-0.80266016272731</v>
      </c>
    </row>
    <row r="29" ht="20.05" customHeight="1">
      <c r="B29" s="28"/>
      <c r="C29" s="14"/>
      <c r="D29" s="20"/>
      <c r="E29" s="15">
        <f>'Model'!C5</f>
        <v>576.95715</v>
      </c>
      <c r="F29" s="15"/>
      <c r="G29" s="15"/>
      <c r="H29" s="15"/>
      <c r="I29" s="15"/>
      <c r="J29" s="15"/>
      <c r="K29" s="15"/>
    </row>
    <row r="30" ht="20.05" customHeight="1">
      <c r="B30" s="28"/>
      <c r="C30" s="14"/>
      <c r="D30" s="20"/>
      <c r="E30" s="15">
        <f>'Model'!D5</f>
        <v>571.1875785</v>
      </c>
      <c r="F30" s="15"/>
      <c r="G30" s="15"/>
      <c r="H30" s="15"/>
      <c r="I30" s="15"/>
      <c r="J30" s="15"/>
      <c r="K30" s="15"/>
    </row>
    <row r="31" ht="20.05" customHeight="1">
      <c r="B31" s="28"/>
      <c r="C31" s="14"/>
      <c r="D31" s="20"/>
      <c r="E31" s="22">
        <f>'Model'!E5</f>
        <v>559.7638269300001</v>
      </c>
      <c r="F31" s="22"/>
      <c r="G31" s="22"/>
      <c r="H31" s="22"/>
      <c r="I31" s="22"/>
      <c r="J31" s="22"/>
      <c r="K31" s="15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80469" style="30" customWidth="1"/>
    <col min="2" max="2" width="11.5" style="30" customWidth="1"/>
    <col min="3" max="13" width="11.25" style="30" customWidth="1"/>
    <col min="14" max="16384" width="16.3516" style="30" customWidth="1"/>
  </cols>
  <sheetData>
    <row r="1" ht="40.65" customHeight="1"/>
    <row r="2" ht="27.65" customHeight="1">
      <c r="B2" t="s" s="2">
        <v>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5">
        <v>1</v>
      </c>
      <c r="C3" t="s" s="5">
        <v>41</v>
      </c>
      <c r="D3" t="s" s="5">
        <v>8</v>
      </c>
      <c r="E3" t="s" s="5">
        <v>9</v>
      </c>
      <c r="F3" t="s" s="5">
        <v>10</v>
      </c>
      <c r="G3" t="s" s="5">
        <v>42</v>
      </c>
      <c r="H3" t="s" s="5">
        <v>43</v>
      </c>
      <c r="I3" t="s" s="5">
        <v>44</v>
      </c>
      <c r="J3" t="s" s="5">
        <v>3</v>
      </c>
      <c r="K3" t="s" s="5">
        <v>33</v>
      </c>
      <c r="L3" t="s" s="5">
        <v>27</v>
      </c>
      <c r="M3" t="s" s="5">
        <v>33</v>
      </c>
    </row>
    <row r="4" ht="20.25" customHeight="1">
      <c r="B4" s="24">
        <v>2010</v>
      </c>
      <c r="C4" s="25"/>
      <c r="D4" s="26"/>
      <c r="E4" s="26"/>
      <c r="F4" s="26">
        <v>-1083.021</v>
      </c>
      <c r="G4" s="26">
        <v>19.652</v>
      </c>
      <c r="H4" s="26"/>
      <c r="I4" s="26">
        <f>SUM(D4:E4)</f>
        <v>0</v>
      </c>
      <c r="J4" s="26"/>
      <c r="K4" s="26"/>
      <c r="L4" s="26"/>
      <c r="M4" s="26"/>
    </row>
    <row r="5" ht="20.05" customHeight="1">
      <c r="B5" s="27">
        <v>2011</v>
      </c>
      <c r="C5" s="14"/>
      <c r="D5" s="15"/>
      <c r="E5" s="15"/>
      <c r="F5" s="15">
        <v>925.574</v>
      </c>
      <c r="G5" s="15">
        <v>31.138</v>
      </c>
      <c r="H5" s="15"/>
      <c r="I5" s="15">
        <f>SUM(D5:E5)</f>
        <v>0</v>
      </c>
      <c r="J5" s="15"/>
      <c r="K5" s="15"/>
      <c r="L5" s="15"/>
      <c r="M5" s="15"/>
    </row>
    <row r="6" ht="20.05" customHeight="1">
      <c r="B6" s="27">
        <v>2012</v>
      </c>
      <c r="C6" s="14">
        <v>2304.4</v>
      </c>
      <c r="D6" s="15">
        <v>-464.3</v>
      </c>
      <c r="E6" s="15">
        <v>-220.7</v>
      </c>
      <c r="F6" s="15">
        <v>854.7</v>
      </c>
      <c r="G6" s="15">
        <v>242.4</v>
      </c>
      <c r="H6" s="15">
        <v>1097.1</v>
      </c>
      <c r="I6" s="15">
        <f>SUM(D6:E6)</f>
        <v>-685</v>
      </c>
      <c r="J6" s="15"/>
      <c r="K6" s="15"/>
      <c r="L6" s="15">
        <f>-(F6+G6)</f>
        <v>-1097.1</v>
      </c>
      <c r="M6" s="15"/>
    </row>
    <row r="7" ht="20.05" customHeight="1">
      <c r="B7" s="27">
        <v>2013</v>
      </c>
      <c r="C7" s="14">
        <v>3331.4</v>
      </c>
      <c r="D7" s="15">
        <v>-448.2</v>
      </c>
      <c r="E7" s="15">
        <v>-2294.7</v>
      </c>
      <c r="F7" s="15">
        <v>1192.3</v>
      </c>
      <c r="G7" s="15">
        <v>1486.3</v>
      </c>
      <c r="H7" s="15">
        <v>2678.6</v>
      </c>
      <c r="I7" s="15">
        <f>SUM(D7:E7)</f>
        <v>-2742.9</v>
      </c>
      <c r="J7" s="15"/>
      <c r="K7" s="15"/>
      <c r="L7" s="15">
        <f>-(F7+G7)+L6</f>
        <v>-3775.7</v>
      </c>
      <c r="M7" s="15"/>
    </row>
    <row r="8" ht="20.05" customHeight="1">
      <c r="B8" s="27">
        <v>2014</v>
      </c>
      <c r="C8" s="14">
        <v>6010.1</v>
      </c>
      <c r="D8" s="15">
        <v>233.3</v>
      </c>
      <c r="E8" s="15">
        <v>-217.6</v>
      </c>
      <c r="F8" s="15">
        <v>120</v>
      </c>
      <c r="G8" s="15">
        <v>-3.6</v>
      </c>
      <c r="H8" s="15">
        <v>116.4</v>
      </c>
      <c r="I8" s="15">
        <f>SUM(D8:E8)</f>
        <v>15.7</v>
      </c>
      <c r="J8" s="15"/>
      <c r="K8" s="15"/>
      <c r="L8" s="15">
        <f>-(F8+G8)+L7</f>
        <v>-3892.1</v>
      </c>
      <c r="M8" s="15"/>
    </row>
    <row r="9" ht="20.05" customHeight="1">
      <c r="B9" s="27">
        <v>2015</v>
      </c>
      <c r="C9" s="14">
        <v>4596.9</v>
      </c>
      <c r="D9" s="15">
        <v>512</v>
      </c>
      <c r="E9" s="15">
        <v>-515.8</v>
      </c>
      <c r="F9" s="15">
        <v>51.5</v>
      </c>
      <c r="G9" s="15">
        <v>-5.8</v>
      </c>
      <c r="H9" s="15">
        <v>45.7</v>
      </c>
      <c r="I9" s="15">
        <f>SUM(D9:E9)</f>
        <v>-3.8</v>
      </c>
      <c r="J9" s="15"/>
      <c r="K9" s="15"/>
      <c r="L9" s="15">
        <f>-(F9+G9)+L8</f>
        <v>-3937.8</v>
      </c>
      <c r="M9" s="15"/>
    </row>
    <row r="10" ht="20.05" customHeight="1">
      <c r="B10" s="27">
        <v>2016</v>
      </c>
      <c r="C10" s="14">
        <v>766.7</v>
      </c>
      <c r="D10" s="15">
        <v>292.7</v>
      </c>
      <c r="E10" s="15">
        <v>-169</v>
      </c>
      <c r="F10" s="15">
        <v>-50.2</v>
      </c>
      <c r="G10" s="15">
        <v>-253.3</v>
      </c>
      <c r="H10" s="15">
        <v>-303.5</v>
      </c>
      <c r="I10" s="15">
        <f>SUM(D10:E10)</f>
        <v>123.7</v>
      </c>
      <c r="J10" s="15"/>
      <c r="K10" s="15"/>
      <c r="L10" s="15">
        <f>-(F10+G10)+L9</f>
        <v>-3634.3</v>
      </c>
      <c r="M10" s="15"/>
    </row>
    <row r="11" ht="20.05" customHeight="1">
      <c r="B11" s="27">
        <v>2017</v>
      </c>
      <c r="C11" s="14">
        <v>3179.9</v>
      </c>
      <c r="D11" s="15">
        <v>1922.5</v>
      </c>
      <c r="E11" s="15">
        <v>-0.04</v>
      </c>
      <c r="F11" s="15">
        <v>-1256.5</v>
      </c>
      <c r="G11" s="15">
        <v>-237.9</v>
      </c>
      <c r="H11" s="15">
        <v>-1494.4</v>
      </c>
      <c r="I11" s="15">
        <f>SUM(D11:E11)</f>
        <v>1922.46</v>
      </c>
      <c r="J11" s="15"/>
      <c r="K11" s="15"/>
      <c r="L11" s="15">
        <f>-(F11+G11)+L10</f>
        <v>-2139.9</v>
      </c>
      <c r="M11" s="15"/>
    </row>
    <row r="12" ht="20.05" customHeight="1">
      <c r="B12" s="27">
        <v>2018</v>
      </c>
      <c r="C12" s="14">
        <v>208.6</v>
      </c>
      <c r="D12" s="15">
        <v>-584.5</v>
      </c>
      <c r="E12" s="15">
        <v>-0.03</v>
      </c>
      <c r="F12" s="15">
        <v>491.41</v>
      </c>
      <c r="G12" s="15">
        <v>-0.01</v>
      </c>
      <c r="H12" s="15">
        <v>491.4</v>
      </c>
      <c r="I12" s="15">
        <f>SUM(D12:E12)</f>
        <v>-584.53</v>
      </c>
      <c r="J12" s="15"/>
      <c r="K12" s="15"/>
      <c r="L12" s="15">
        <f>-(F12+G12)+L11</f>
        <v>-2631.3</v>
      </c>
      <c r="M12" s="15"/>
    </row>
    <row r="13" ht="20.05" customHeight="1">
      <c r="B13" s="28"/>
      <c r="C13" s="14">
        <v>631.1</v>
      </c>
      <c r="D13" s="15">
        <v>324.3</v>
      </c>
      <c r="E13" s="15">
        <v>-0.07000000000000001</v>
      </c>
      <c r="F13" s="15">
        <v>-689.11</v>
      </c>
      <c r="G13" s="15">
        <v>-1.79</v>
      </c>
      <c r="H13" s="15">
        <v>-690.9</v>
      </c>
      <c r="I13" s="15">
        <f>SUM(D13:E13)</f>
        <v>324.23</v>
      </c>
      <c r="J13" s="15"/>
      <c r="K13" s="15"/>
      <c r="L13" s="15">
        <f>-(F13+G13)+L12</f>
        <v>-1940.4</v>
      </c>
      <c r="M13" s="15"/>
    </row>
    <row r="14" ht="20.05" customHeight="1">
      <c r="B14" s="28"/>
      <c r="C14" s="14">
        <v>553.4</v>
      </c>
      <c r="D14" s="15">
        <v>148.4</v>
      </c>
      <c r="E14" s="15">
        <v>0</v>
      </c>
      <c r="F14" s="15">
        <v>289.9</v>
      </c>
      <c r="G14" s="15">
        <v>-205.4</v>
      </c>
      <c r="H14" s="15">
        <v>84.5</v>
      </c>
      <c r="I14" s="15">
        <f>SUM(D14:E14)</f>
        <v>148.4</v>
      </c>
      <c r="J14" s="15"/>
      <c r="K14" s="15"/>
      <c r="L14" s="15">
        <f>-(F14+G14)+L13</f>
        <v>-2024.9</v>
      </c>
      <c r="M14" s="15"/>
    </row>
    <row r="15" ht="20.05" customHeight="1">
      <c r="B15" s="28"/>
      <c r="C15" s="14">
        <v>143.3</v>
      </c>
      <c r="D15" s="15">
        <v>-267.1</v>
      </c>
      <c r="E15" s="15">
        <v>-0.1</v>
      </c>
      <c r="F15" s="15">
        <v>283</v>
      </c>
      <c r="G15" s="15">
        <v>-0.1</v>
      </c>
      <c r="H15" s="15">
        <v>282.9</v>
      </c>
      <c r="I15" s="15">
        <f>SUM(D15:E15)</f>
        <v>-267.2</v>
      </c>
      <c r="J15" s="15">
        <f>AVERAGE(I12:I15)</f>
        <v>-94.77500000000001</v>
      </c>
      <c r="K15" s="15"/>
      <c r="L15" s="15">
        <f>-(F15+G15)+L14</f>
        <v>-2307.8</v>
      </c>
      <c r="M15" s="15"/>
    </row>
    <row r="16" ht="20.05" customHeight="1">
      <c r="B16" s="27">
        <v>2019</v>
      </c>
      <c r="C16" s="14">
        <v>223.7</v>
      </c>
      <c r="D16" s="15">
        <v>-296.9</v>
      </c>
      <c r="E16" s="15">
        <v>-0.03</v>
      </c>
      <c r="F16" s="15">
        <v>36</v>
      </c>
      <c r="G16" s="15">
        <v>-232.2</v>
      </c>
      <c r="H16" s="15">
        <v>-196.2</v>
      </c>
      <c r="I16" s="15">
        <f>SUM(D16:E16)</f>
        <v>-296.93</v>
      </c>
      <c r="J16" s="15">
        <f>AVERAGE(I13:I16)</f>
        <v>-22.875</v>
      </c>
      <c r="K16" s="15"/>
      <c r="L16" s="15">
        <f>-(F16+G16)+L15</f>
        <v>-2111.6</v>
      </c>
      <c r="M16" s="15"/>
    </row>
    <row r="17" ht="20.05" customHeight="1">
      <c r="B17" s="28"/>
      <c r="C17" s="14">
        <v>1615.5</v>
      </c>
      <c r="D17" s="15">
        <v>1367.4</v>
      </c>
      <c r="E17" s="15">
        <v>-0.02</v>
      </c>
      <c r="F17" s="15">
        <v>9</v>
      </c>
      <c r="G17" s="15">
        <v>-305</v>
      </c>
      <c r="H17" s="15">
        <v>-296</v>
      </c>
      <c r="I17" s="15">
        <f>SUM(D17:E17)</f>
        <v>1367.38</v>
      </c>
      <c r="J17" s="15">
        <f>AVERAGE(I14:I17)</f>
        <v>237.9125</v>
      </c>
      <c r="K17" s="15"/>
      <c r="L17" s="15">
        <f>-(F17+G17)+L16</f>
        <v>-1815.6</v>
      </c>
      <c r="M17" s="15"/>
    </row>
    <row r="18" ht="20.05" customHeight="1">
      <c r="B18" s="28"/>
      <c r="C18" s="14">
        <v>409.2</v>
      </c>
      <c r="D18" s="15">
        <v>-270</v>
      </c>
      <c r="E18" s="15">
        <v>-0.05</v>
      </c>
      <c r="F18" s="15">
        <v>-168.6</v>
      </c>
      <c r="G18" s="15">
        <v>6.8</v>
      </c>
      <c r="H18" s="15">
        <v>-161.8</v>
      </c>
      <c r="I18" s="15">
        <f>SUM(D18:E18)</f>
        <v>-270.05</v>
      </c>
      <c r="J18" s="15">
        <f>AVERAGE(I15:I18)</f>
        <v>133.3</v>
      </c>
      <c r="K18" s="15"/>
      <c r="L18" s="15">
        <f>-(F18+G18)+L17</f>
        <v>-1653.8</v>
      </c>
      <c r="M18" s="15"/>
    </row>
    <row r="19" ht="20.05" customHeight="1">
      <c r="B19" s="28"/>
      <c r="C19" s="14">
        <v>663.7</v>
      </c>
      <c r="D19" s="15">
        <v>-126</v>
      </c>
      <c r="E19" s="15">
        <v>-0.1</v>
      </c>
      <c r="F19" s="15">
        <v>-398.29</v>
      </c>
      <c r="G19" s="15">
        <v>-12.31</v>
      </c>
      <c r="H19" s="15">
        <v>-410.6</v>
      </c>
      <c r="I19" s="15">
        <f>SUM(D19:E19)</f>
        <v>-126.1</v>
      </c>
      <c r="J19" s="15">
        <f>AVERAGE(I16:I19)</f>
        <v>168.575</v>
      </c>
      <c r="K19" s="15"/>
      <c r="L19" s="15">
        <f>-(F19+G19)+L18</f>
        <v>-1243.2</v>
      </c>
      <c r="M19" s="15"/>
    </row>
    <row r="20" ht="20.05" customHeight="1">
      <c r="B20" s="27">
        <v>2020</v>
      </c>
      <c r="C20" s="14">
        <v>321.8</v>
      </c>
      <c r="D20" s="15">
        <v>-10</v>
      </c>
      <c r="E20" s="15">
        <v>-0.1</v>
      </c>
      <c r="F20" s="15">
        <v>300.8</v>
      </c>
      <c r="G20" s="15">
        <v>-2.8</v>
      </c>
      <c r="H20" s="15">
        <v>298</v>
      </c>
      <c r="I20" s="15">
        <f>SUM(D20:E20)</f>
        <v>-10.1</v>
      </c>
      <c r="J20" s="15">
        <f>AVERAGE(I17:I20)</f>
        <v>240.2825</v>
      </c>
      <c r="K20" s="15"/>
      <c r="L20" s="15">
        <f>-(F20+G20)+L19</f>
        <v>-1541.2</v>
      </c>
      <c r="M20" s="15"/>
    </row>
    <row r="21" ht="20.05" customHeight="1">
      <c r="B21" s="28"/>
      <c r="C21" s="14">
        <v>669.5</v>
      </c>
      <c r="D21" s="15">
        <v>523.6</v>
      </c>
      <c r="E21" s="15">
        <v>-0.1</v>
      </c>
      <c r="F21" s="15">
        <v>-366.9</v>
      </c>
      <c r="G21" s="15">
        <v>-22.7</v>
      </c>
      <c r="H21" s="15">
        <v>-389.6</v>
      </c>
      <c r="I21" s="15">
        <f>SUM(D21:E21)</f>
        <v>523.5</v>
      </c>
      <c r="J21" s="15">
        <f>AVERAGE(I18:I21)</f>
        <v>29.3125</v>
      </c>
      <c r="K21" s="15"/>
      <c r="L21" s="15">
        <f>-(F21+G21)+L20</f>
        <v>-1151.6</v>
      </c>
      <c r="M21" s="15"/>
    </row>
    <row r="22" ht="20.05" customHeight="1">
      <c r="B22" s="28"/>
      <c r="C22" s="14">
        <v>263.8</v>
      </c>
      <c r="D22" s="15">
        <v>60.2</v>
      </c>
      <c r="E22" s="15">
        <v>0</v>
      </c>
      <c r="F22" s="15">
        <v>37.5</v>
      </c>
      <c r="G22" s="15">
        <v>-200.2</v>
      </c>
      <c r="H22" s="15">
        <v>-162.7</v>
      </c>
      <c r="I22" s="15">
        <f>SUM(D22:E22)</f>
        <v>60.2</v>
      </c>
      <c r="J22" s="15">
        <f>AVERAGE(I19:I22)</f>
        <v>111.875</v>
      </c>
      <c r="K22" s="15"/>
      <c r="L22" s="15">
        <f>-(F22+G22)+L21</f>
        <v>-988.9</v>
      </c>
      <c r="M22" s="15"/>
    </row>
    <row r="23" ht="20.05" customHeight="1">
      <c r="B23" s="28"/>
      <c r="C23" s="14">
        <v>133.8</v>
      </c>
      <c r="D23" s="15">
        <v>-207.1</v>
      </c>
      <c r="E23" s="15">
        <v>-0.2</v>
      </c>
      <c r="F23" s="15">
        <v>-60.2</v>
      </c>
      <c r="G23" s="15">
        <v>0</v>
      </c>
      <c r="H23" s="15">
        <v>-60.2</v>
      </c>
      <c r="I23" s="15">
        <f>SUM(D23:E23)</f>
        <v>-207.3</v>
      </c>
      <c r="J23" s="15">
        <f>AVERAGE(I20:I23)</f>
        <v>91.575</v>
      </c>
      <c r="K23" s="15"/>
      <c r="L23" s="15">
        <f>-(F23+G23)+L22</f>
        <v>-928.7</v>
      </c>
      <c r="M23" s="15"/>
    </row>
    <row r="24" ht="20.05" customHeight="1">
      <c r="B24" s="27">
        <v>2021</v>
      </c>
      <c r="C24" s="14">
        <v>47.2</v>
      </c>
      <c r="D24" s="15">
        <v>-315.5</v>
      </c>
      <c r="E24" s="15">
        <v>-0.2</v>
      </c>
      <c r="F24" s="15">
        <v>824.355</v>
      </c>
      <c r="G24" s="15">
        <v>0</v>
      </c>
      <c r="H24" s="15">
        <v>470.1</v>
      </c>
      <c r="I24" s="15">
        <f>SUM(D24:E24)</f>
        <v>-315.7</v>
      </c>
      <c r="J24" s="15">
        <f>AVERAGE(I21:I24)</f>
        <v>15.175</v>
      </c>
      <c r="K24" s="15"/>
      <c r="L24" s="15">
        <f>-(F24+G24)+L23</f>
        <v>-1753.055</v>
      </c>
      <c r="M24" s="15"/>
    </row>
    <row r="25" ht="20.05" customHeight="1">
      <c r="B25" s="28"/>
      <c r="C25" s="14">
        <v>1044</v>
      </c>
      <c r="D25" s="15">
        <v>651.6</v>
      </c>
      <c r="E25" s="15">
        <v>-0.1</v>
      </c>
      <c r="F25" s="15">
        <v>-584.6180000000001</v>
      </c>
      <c r="G25" s="15">
        <v>-296.32</v>
      </c>
      <c r="H25" s="15">
        <v>-526.7</v>
      </c>
      <c r="I25" s="15">
        <f>SUM(D25:E25)</f>
        <v>651.5</v>
      </c>
      <c r="J25" s="15">
        <f>AVERAGE(I22:I25)</f>
        <v>47.175</v>
      </c>
      <c r="K25" s="15"/>
      <c r="L25" s="15">
        <f>-(F25+G25)+L24</f>
        <v>-872.117</v>
      </c>
      <c r="M25" s="15"/>
    </row>
    <row r="26" ht="20.05" customHeight="1">
      <c r="B26" s="28"/>
      <c r="C26" s="14">
        <v>30.3</v>
      </c>
      <c r="D26" s="15">
        <v>-309.5</v>
      </c>
      <c r="E26" s="15">
        <v>-0.1</v>
      </c>
      <c r="F26" s="15">
        <v>-10.101</v>
      </c>
      <c r="G26" s="15">
        <v>0.01</v>
      </c>
      <c r="H26" s="15">
        <v>-10.1</v>
      </c>
      <c r="I26" s="15">
        <f>SUM(D26:E26)</f>
        <v>-309.6</v>
      </c>
      <c r="J26" s="15">
        <f>AVERAGE(I23:I26)</f>
        <v>-45.275</v>
      </c>
      <c r="K26" s="15"/>
      <c r="L26" s="15">
        <f>-(F26+G26)+L25</f>
        <v>-862.026</v>
      </c>
      <c r="M26" s="15"/>
    </row>
    <row r="27" ht="20.05" customHeight="1">
      <c r="B27" s="28"/>
      <c r="C27" s="14">
        <v>201.9</v>
      </c>
      <c r="D27" s="15">
        <v>-389.2</v>
      </c>
      <c r="E27" s="15">
        <v>0</v>
      </c>
      <c r="F27" s="15">
        <v>449.99</v>
      </c>
      <c r="G27" s="15">
        <v>0.01</v>
      </c>
      <c r="H27" s="15">
        <v>450</v>
      </c>
      <c r="I27" s="15">
        <f>SUM(D27:E27)</f>
        <v>-389.2</v>
      </c>
      <c r="J27" s="15">
        <f>AVERAGE(I24:I27)</f>
        <v>-90.75</v>
      </c>
      <c r="K27" s="15">
        <f>J27</f>
        <v>-90.75</v>
      </c>
      <c r="L27" s="15">
        <f>-(F27+G27)+L26</f>
        <v>-1312.026</v>
      </c>
      <c r="M27" s="15">
        <f>L27</f>
        <v>-1312.026</v>
      </c>
    </row>
    <row r="28" ht="20.05" customHeight="1">
      <c r="B28" s="27">
        <v>2022</v>
      </c>
      <c r="C28" s="14"/>
      <c r="D28" s="15"/>
      <c r="E28" s="15"/>
      <c r="F28" s="15"/>
      <c r="G28" s="15"/>
      <c r="H28" s="15"/>
      <c r="I28" s="15"/>
      <c r="J28" s="20"/>
      <c r="K28" s="15">
        <f>SUM('Model'!E8:E9)</f>
        <v>110.463702517504</v>
      </c>
      <c r="L28" s="20"/>
      <c r="M28" s="15">
        <f>'Model'!E31</f>
        <v>-218.035238022523</v>
      </c>
    </row>
    <row r="29" ht="20.05" customHeight="1">
      <c r="B29" s="28"/>
      <c r="C29" s="14"/>
      <c r="D29" s="15"/>
      <c r="E29" s="20"/>
      <c r="F29" s="15"/>
      <c r="G29" s="15"/>
      <c r="H29" s="15"/>
      <c r="I29" s="15"/>
      <c r="J29" s="15"/>
      <c r="K29" s="15"/>
      <c r="L29" s="15"/>
      <c r="M29" s="15"/>
    </row>
    <row r="30" ht="20.05" customHeight="1">
      <c r="B30" s="28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ht="20.05" customHeight="1">
      <c r="B31" s="28"/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/>
    </row>
  </sheetData>
  <mergeCells count="1">
    <mergeCell ref="B2:M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80469" style="31" customWidth="1"/>
    <col min="2" max="2" width="10.8281" style="31" customWidth="1"/>
    <col min="3" max="11" width="10.6094" style="31" customWidth="1"/>
    <col min="12" max="16384" width="16.3516" style="31" customWidth="1"/>
  </cols>
  <sheetData>
    <row r="1" ht="40.65" customHeight="1"/>
    <row r="2" ht="27.65" customHeight="1">
      <c r="B2" t="s" s="2">
        <v>45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46</v>
      </c>
      <c r="D3" t="s" s="5">
        <v>47</v>
      </c>
      <c r="E3" t="s" s="5">
        <v>21</v>
      </c>
      <c r="F3" t="s" s="5">
        <v>22</v>
      </c>
      <c r="G3" t="s" s="5">
        <v>10</v>
      </c>
      <c r="H3" t="s" s="5">
        <v>11</v>
      </c>
      <c r="I3" t="s" s="5">
        <v>48</v>
      </c>
      <c r="J3" t="s" s="5">
        <v>25</v>
      </c>
      <c r="K3" t="s" s="5">
        <v>33</v>
      </c>
    </row>
    <row r="4" ht="20.25" customHeight="1">
      <c r="B4" s="24">
        <v>2010</v>
      </c>
      <c r="C4" s="25"/>
      <c r="D4" s="26"/>
      <c r="E4" s="26">
        <f>D4-C4</f>
        <v>0</v>
      </c>
      <c r="F4" s="26"/>
      <c r="G4" s="26"/>
      <c r="H4" s="26"/>
      <c r="I4" s="26">
        <f>G4+H4-C4-E4</f>
        <v>0</v>
      </c>
      <c r="J4" s="26">
        <f>C4-G4</f>
        <v>0</v>
      </c>
      <c r="K4" s="26"/>
    </row>
    <row r="5" ht="20.05" customHeight="1">
      <c r="B5" s="27">
        <v>2011</v>
      </c>
      <c r="C5" s="14"/>
      <c r="D5" s="15"/>
      <c r="E5" s="15">
        <f>D5-C5</f>
        <v>0</v>
      </c>
      <c r="F5" s="15"/>
      <c r="G5" s="15"/>
      <c r="H5" s="15"/>
      <c r="I5" s="15">
        <f>G5+H5-C5-E5</f>
        <v>0</v>
      </c>
      <c r="J5" s="15">
        <f>C5-G5</f>
        <v>0</v>
      </c>
      <c r="K5" s="15"/>
    </row>
    <row r="6" ht="20.05" customHeight="1">
      <c r="B6" s="27">
        <v>2012</v>
      </c>
      <c r="C6" s="14">
        <v>1243</v>
      </c>
      <c r="D6" s="15">
        <v>12911</v>
      </c>
      <c r="E6" s="15">
        <f>D6-C6</f>
        <v>11668</v>
      </c>
      <c r="F6" s="15">
        <v>112</v>
      </c>
      <c r="G6" s="15">
        <v>3181</v>
      </c>
      <c r="H6" s="15">
        <f>D6-G6</f>
        <v>9730</v>
      </c>
      <c r="I6" s="15">
        <f>G6+H6-C6-E6</f>
        <v>0</v>
      </c>
      <c r="J6" s="15">
        <f>C6-G6</f>
        <v>-1938</v>
      </c>
      <c r="K6" s="15"/>
    </row>
    <row r="7" ht="20.05" customHeight="1">
      <c r="B7" s="27">
        <v>2013</v>
      </c>
      <c r="C7" s="14">
        <v>406</v>
      </c>
      <c r="D7" s="15">
        <v>15881</v>
      </c>
      <c r="E7" s="15">
        <f>D7-C7</f>
        <v>15475</v>
      </c>
      <c r="F7" s="15">
        <v>209</v>
      </c>
      <c r="G7" s="15">
        <v>5542</v>
      </c>
      <c r="H7" s="15">
        <f>D7-G7</f>
        <v>10339</v>
      </c>
      <c r="I7" s="15">
        <f>G7+H7-C7-E7</f>
        <v>0</v>
      </c>
      <c r="J7" s="15">
        <f>C7-G7</f>
        <v>-5136</v>
      </c>
      <c r="K7" s="15"/>
    </row>
    <row r="8" ht="20.05" customHeight="1">
      <c r="B8" s="27">
        <v>2014</v>
      </c>
      <c r="C8" s="14">
        <v>538</v>
      </c>
      <c r="D8" s="15">
        <v>15840</v>
      </c>
      <c r="E8" s="15">
        <f>D8-C8</f>
        <v>15302</v>
      </c>
      <c r="F8" s="15">
        <v>300</v>
      </c>
      <c r="G8" s="15">
        <v>4768</v>
      </c>
      <c r="H8" s="15">
        <f>D8-G8</f>
        <v>11072</v>
      </c>
      <c r="I8" s="15">
        <f>G8+H8-C8-E8</f>
        <v>0</v>
      </c>
      <c r="J8" s="15">
        <f>C8-G8</f>
        <v>-4230</v>
      </c>
      <c r="K8" s="15"/>
    </row>
    <row r="9" ht="20.05" customHeight="1">
      <c r="B9" s="27">
        <v>2015</v>
      </c>
      <c r="C9" s="14">
        <v>400</v>
      </c>
      <c r="D9" s="15">
        <v>16701</v>
      </c>
      <c r="E9" s="15">
        <f>D9-C9</f>
        <v>16301</v>
      </c>
      <c r="F9" s="15">
        <v>429</v>
      </c>
      <c r="G9" s="15">
        <v>5220</v>
      </c>
      <c r="H9" s="15">
        <f>D9-G9</f>
        <v>11481</v>
      </c>
      <c r="I9" s="15">
        <f>G9+H9-C9-E9</f>
        <v>0</v>
      </c>
      <c r="J9" s="15">
        <f>C9-G9</f>
        <v>-4820</v>
      </c>
      <c r="K9" s="15"/>
    </row>
    <row r="10" ht="20.05" customHeight="1">
      <c r="B10" s="27">
        <v>2016</v>
      </c>
      <c r="C10" s="14">
        <v>758</v>
      </c>
      <c r="D10" s="15">
        <v>25144</v>
      </c>
      <c r="E10" s="15">
        <f>D10-C10</f>
        <v>24386</v>
      </c>
      <c r="F10" s="15"/>
      <c r="G10" s="15">
        <v>5778</v>
      </c>
      <c r="H10" s="15">
        <f>D10-G10</f>
        <v>19366</v>
      </c>
      <c r="I10" s="15">
        <f>G10+H10-C10-E10</f>
        <v>0</v>
      </c>
      <c r="J10" s="15">
        <f>C10-G10</f>
        <v>-5020</v>
      </c>
      <c r="K10" s="15"/>
    </row>
    <row r="11" ht="20.05" customHeight="1">
      <c r="B11" s="27">
        <v>2017</v>
      </c>
      <c r="C11" s="14">
        <v>910</v>
      </c>
      <c r="D11" s="15">
        <v>26630</v>
      </c>
      <c r="E11" s="15">
        <f>D11-C11</f>
        <v>25720</v>
      </c>
      <c r="F11" s="15"/>
      <c r="G11" s="15">
        <v>4342</v>
      </c>
      <c r="H11" s="15">
        <f>D11-G11</f>
        <v>22288</v>
      </c>
      <c r="I11" s="15">
        <f>G11+H11-C11-E11</f>
        <v>0</v>
      </c>
      <c r="J11" s="15">
        <f>C11-G11</f>
        <v>-3432</v>
      </c>
      <c r="K11" s="15"/>
    </row>
    <row r="12" ht="20.05" customHeight="1">
      <c r="B12" s="27">
        <v>2018</v>
      </c>
      <c r="C12" s="14">
        <v>806</v>
      </c>
      <c r="D12" s="15">
        <v>27183</v>
      </c>
      <c r="E12" s="15">
        <f>D12-C12</f>
        <v>26377</v>
      </c>
      <c r="F12" s="15"/>
      <c r="G12" s="15">
        <v>5165</v>
      </c>
      <c r="H12" s="15">
        <f>D12-G12</f>
        <v>22018</v>
      </c>
      <c r="I12" s="15">
        <f>G12+H12-C12-E12</f>
        <v>0</v>
      </c>
      <c r="J12" s="15">
        <f>C12-G12</f>
        <v>-4359</v>
      </c>
      <c r="K12" s="15"/>
    </row>
    <row r="13" ht="20.05" customHeight="1">
      <c r="B13" s="28"/>
      <c r="C13" s="14">
        <v>467</v>
      </c>
      <c r="D13" s="15">
        <v>25190</v>
      </c>
      <c r="E13" s="15">
        <f>D13-C13</f>
        <v>24723</v>
      </c>
      <c r="F13" s="15"/>
      <c r="G13" s="15">
        <v>4304</v>
      </c>
      <c r="H13" s="15">
        <f>D13-G13</f>
        <v>20886</v>
      </c>
      <c r="I13" s="15">
        <f>G13+H13-C13-E13</f>
        <v>0</v>
      </c>
      <c r="J13" s="15">
        <f>C13-G13</f>
        <v>-3837</v>
      </c>
      <c r="K13" s="15"/>
    </row>
    <row r="14" ht="20.05" customHeight="1">
      <c r="B14" s="28"/>
      <c r="C14" s="14">
        <v>729</v>
      </c>
      <c r="D14" s="15">
        <v>25709</v>
      </c>
      <c r="E14" s="15">
        <f>D14-C14</f>
        <v>24980</v>
      </c>
      <c r="F14" s="15"/>
      <c r="G14" s="15">
        <v>4529</v>
      </c>
      <c r="H14" s="15">
        <f>D14-G14</f>
        <v>21180</v>
      </c>
      <c r="I14" s="15">
        <f>G14+H14-C14-E14</f>
        <v>0</v>
      </c>
      <c r="J14" s="15">
        <f>C14-G14</f>
        <v>-3800</v>
      </c>
      <c r="K14" s="15"/>
    </row>
    <row r="15" ht="20.05" customHeight="1">
      <c r="B15" s="28"/>
      <c r="C15" s="14">
        <v>783</v>
      </c>
      <c r="D15" s="15">
        <v>20115</v>
      </c>
      <c r="E15" s="15">
        <f>D15-C15</f>
        <v>19332</v>
      </c>
      <c r="F15" s="15"/>
      <c r="G15" s="15">
        <v>4151</v>
      </c>
      <c r="H15" s="15">
        <f>D15-G15</f>
        <v>15964</v>
      </c>
      <c r="I15" s="15">
        <f>G15+H15-C15-E15</f>
        <v>0</v>
      </c>
      <c r="J15" s="15">
        <f>C15-G15</f>
        <v>-3368</v>
      </c>
      <c r="K15" s="15"/>
    </row>
    <row r="16" ht="20.05" customHeight="1">
      <c r="B16" s="27">
        <v>2019</v>
      </c>
      <c r="C16" s="14">
        <v>280</v>
      </c>
      <c r="D16" s="15">
        <v>21139</v>
      </c>
      <c r="E16" s="15">
        <f>D16-C16</f>
        <v>20859</v>
      </c>
      <c r="F16" s="15"/>
      <c r="G16" s="15">
        <v>4277</v>
      </c>
      <c r="H16" s="15">
        <f>D16-G16</f>
        <v>16862</v>
      </c>
      <c r="I16" s="15">
        <f>G16+H16-C16-E16</f>
        <v>0</v>
      </c>
      <c r="J16" s="15">
        <f>C16-G16</f>
        <v>-3997</v>
      </c>
      <c r="K16" s="15"/>
    </row>
    <row r="17" ht="20.05" customHeight="1">
      <c r="B17" s="28"/>
      <c r="C17" s="14">
        <v>1526</v>
      </c>
      <c r="D17" s="15">
        <v>23052</v>
      </c>
      <c r="E17" s="15">
        <f>D17-C17</f>
        <v>21526</v>
      </c>
      <c r="F17" s="15"/>
      <c r="G17" s="15">
        <v>4469</v>
      </c>
      <c r="H17" s="15">
        <f>D17-G17</f>
        <v>18583</v>
      </c>
      <c r="I17" s="15">
        <f>G17+H17-C17-E17</f>
        <v>0</v>
      </c>
      <c r="J17" s="15">
        <f>C17-G17</f>
        <v>-2943</v>
      </c>
      <c r="K17" s="15"/>
    </row>
    <row r="18" ht="20.05" customHeight="1">
      <c r="B18" s="28"/>
      <c r="C18" s="14">
        <v>930</v>
      </c>
      <c r="D18" s="15">
        <v>26486</v>
      </c>
      <c r="E18" s="15">
        <f>D18-C18</f>
        <v>25556</v>
      </c>
      <c r="F18" s="15"/>
      <c r="G18" s="15">
        <v>4051</v>
      </c>
      <c r="H18" s="15">
        <f>D18-G18</f>
        <v>22435</v>
      </c>
      <c r="I18" s="15">
        <f>G18+H18-C18-E18</f>
        <v>0</v>
      </c>
      <c r="J18" s="15">
        <f>C18-G18</f>
        <v>-3121</v>
      </c>
      <c r="K18" s="15"/>
    </row>
    <row r="19" ht="20.05" customHeight="1">
      <c r="B19" s="28"/>
      <c r="C19" s="14">
        <v>394</v>
      </c>
      <c r="D19" s="15">
        <v>26657</v>
      </c>
      <c r="E19" s="15">
        <f>D19-C19</f>
        <v>26263</v>
      </c>
      <c r="F19" s="15"/>
      <c r="G19" s="15">
        <v>3883</v>
      </c>
      <c r="H19" s="15">
        <f>D19-G19</f>
        <v>22774</v>
      </c>
      <c r="I19" s="15">
        <f>G19+H19-C19-E19</f>
        <v>0</v>
      </c>
      <c r="J19" s="15">
        <f>C19-G19</f>
        <v>-3489</v>
      </c>
      <c r="K19" s="15"/>
    </row>
    <row r="20" ht="20.05" customHeight="1">
      <c r="B20" s="27">
        <v>2020</v>
      </c>
      <c r="C20" s="14">
        <v>696</v>
      </c>
      <c r="D20" s="15">
        <v>20940</v>
      </c>
      <c r="E20" s="15">
        <f>D20-C20</f>
        <v>20244</v>
      </c>
      <c r="F20" s="15"/>
      <c r="G20" s="15">
        <v>4171</v>
      </c>
      <c r="H20" s="15">
        <f>D20-G20</f>
        <v>16769</v>
      </c>
      <c r="I20" s="15">
        <f>G20+H20-C20-E20</f>
        <v>0</v>
      </c>
      <c r="J20" s="15">
        <f>C20-G20</f>
        <v>-3475</v>
      </c>
      <c r="K20" s="15"/>
    </row>
    <row r="21" ht="20.05" customHeight="1">
      <c r="B21" s="28"/>
      <c r="C21" s="14">
        <v>798</v>
      </c>
      <c r="D21" s="15">
        <v>24127</v>
      </c>
      <c r="E21" s="15">
        <f>D21-C21</f>
        <v>23329</v>
      </c>
      <c r="F21" s="15"/>
      <c r="G21" s="15">
        <v>3607</v>
      </c>
      <c r="H21" s="15">
        <f>D21-G21</f>
        <v>20520</v>
      </c>
      <c r="I21" s="15">
        <f>G21+H21-C21-E21</f>
        <v>0</v>
      </c>
      <c r="J21" s="15">
        <f>C21-G21</f>
        <v>-2809</v>
      </c>
      <c r="K21" s="15"/>
    </row>
    <row r="22" ht="20.05" customHeight="1">
      <c r="B22" s="28"/>
      <c r="C22" s="14">
        <v>702</v>
      </c>
      <c r="D22" s="15">
        <v>27356</v>
      </c>
      <c r="E22" s="15">
        <f>D22-C22</f>
        <v>26654</v>
      </c>
      <c r="F22" s="15"/>
      <c r="G22" s="15">
        <v>3589</v>
      </c>
      <c r="H22" s="15">
        <f>D22-G22</f>
        <v>23767</v>
      </c>
      <c r="I22" s="15">
        <f>G22+H22-C22-E22</f>
        <v>0</v>
      </c>
      <c r="J22" s="15">
        <f>C22-G22</f>
        <v>-2887</v>
      </c>
      <c r="K22" s="15"/>
    </row>
    <row r="23" ht="20.05" customHeight="1">
      <c r="B23" s="28"/>
      <c r="C23" s="14">
        <v>431</v>
      </c>
      <c r="D23" s="15">
        <v>35049</v>
      </c>
      <c r="E23" s="15">
        <f>D23-C23</f>
        <v>34618</v>
      </c>
      <c r="F23" s="15"/>
      <c r="G23" s="15">
        <v>3652</v>
      </c>
      <c r="H23" s="15">
        <f>D23-G23</f>
        <v>31397</v>
      </c>
      <c r="I23" s="15">
        <f>G23+H23-C23-E23</f>
        <v>0</v>
      </c>
      <c r="J23" s="15">
        <f>C23-G23</f>
        <v>-3221</v>
      </c>
      <c r="K23" s="15"/>
    </row>
    <row r="24" ht="20.05" customHeight="1">
      <c r="B24" s="27">
        <v>2021</v>
      </c>
      <c r="C24" s="14">
        <v>601</v>
      </c>
      <c r="D24" s="15">
        <v>36557</v>
      </c>
      <c r="E24" s="15">
        <f>D24-C24</f>
        <v>35956</v>
      </c>
      <c r="F24" s="15"/>
      <c r="G24" s="15">
        <v>4000</v>
      </c>
      <c r="H24" s="15">
        <f>D24-G24</f>
        <v>32557</v>
      </c>
      <c r="I24" s="15">
        <f>G24+H24-C24-E24</f>
        <v>0</v>
      </c>
      <c r="J24" s="15">
        <f>C24-G24</f>
        <v>-3399</v>
      </c>
      <c r="K24" s="15"/>
    </row>
    <row r="25" ht="20.05" customHeight="1">
      <c r="B25" s="28"/>
      <c r="C25" s="14">
        <v>723</v>
      </c>
      <c r="D25" s="15">
        <v>50166</v>
      </c>
      <c r="E25" s="15">
        <f>D25-C25</f>
        <v>49443</v>
      </c>
      <c r="F25" s="15"/>
      <c r="G25" s="15">
        <v>3780</v>
      </c>
      <c r="H25" s="15">
        <f>D25-G25</f>
        <v>46386</v>
      </c>
      <c r="I25" s="15">
        <f>G25+H25-C25-E25</f>
        <v>0</v>
      </c>
      <c r="J25" s="15">
        <f>C25-G25</f>
        <v>-3057</v>
      </c>
      <c r="K25" s="15"/>
    </row>
    <row r="26" ht="20.05" customHeight="1">
      <c r="B26" s="28"/>
      <c r="C26" s="14">
        <v>398</v>
      </c>
      <c r="D26" s="15">
        <v>49406</v>
      </c>
      <c r="E26" s="15">
        <f>D26-C26</f>
        <v>49008</v>
      </c>
      <c r="F26" s="15"/>
      <c r="G26" s="15">
        <v>4220</v>
      </c>
      <c r="H26" s="15">
        <f>D26-G26</f>
        <v>45186</v>
      </c>
      <c r="I26" s="15">
        <f>G26+H26-C26-E26</f>
        <v>0</v>
      </c>
      <c r="J26" s="15">
        <f>C26-G26</f>
        <v>-3822</v>
      </c>
      <c r="K26" s="15"/>
    </row>
    <row r="27" ht="20.05" customHeight="1">
      <c r="B27" s="28"/>
      <c r="C27" s="14">
        <v>462</v>
      </c>
      <c r="D27" s="15">
        <v>61152</v>
      </c>
      <c r="E27" s="15">
        <f>D27-C27</f>
        <v>60690</v>
      </c>
      <c r="F27" s="15"/>
      <c r="G27" s="15">
        <v>5137</v>
      </c>
      <c r="H27" s="15">
        <f>D27-G27</f>
        <v>56015</v>
      </c>
      <c r="I27" s="15">
        <f>G27+H27-C27-E27</f>
        <v>0</v>
      </c>
      <c r="J27" s="15">
        <f>C27-G27</f>
        <v>-4675</v>
      </c>
      <c r="K27" s="15">
        <f>J27</f>
        <v>-4675</v>
      </c>
    </row>
    <row r="28" ht="20.05" customHeight="1">
      <c r="B28" s="27">
        <v>2022</v>
      </c>
      <c r="C28" s="14"/>
      <c r="D28" s="15"/>
      <c r="E28" s="15"/>
      <c r="F28" s="15"/>
      <c r="G28" s="15"/>
      <c r="H28" s="15"/>
      <c r="I28" s="15"/>
      <c r="J28" s="15"/>
      <c r="K28" s="15">
        <f>'Model'!E29</f>
        <v>-4397.744807469210</v>
      </c>
    </row>
    <row r="29" ht="20.05" customHeight="1">
      <c r="B29" s="28"/>
      <c r="C29" s="14"/>
      <c r="D29" s="15"/>
      <c r="E29" s="15"/>
      <c r="F29" s="15"/>
      <c r="G29" s="15"/>
      <c r="H29" s="15"/>
      <c r="I29" s="15"/>
      <c r="J29" s="15"/>
      <c r="K29" s="15"/>
    </row>
    <row r="30" ht="20.05" customHeight="1">
      <c r="B30" s="28"/>
      <c r="C30" s="14"/>
      <c r="D30" s="15"/>
      <c r="E30" s="15"/>
      <c r="F30" s="15"/>
      <c r="G30" s="15"/>
      <c r="H30" s="15"/>
      <c r="I30" s="15"/>
      <c r="J30" s="15"/>
      <c r="K30" s="15"/>
    </row>
    <row r="31" ht="20.05" customHeight="1">
      <c r="B31" s="28"/>
      <c r="C31" s="14"/>
      <c r="D31" s="15"/>
      <c r="E31" s="15"/>
      <c r="F31" s="15"/>
      <c r="G31" s="15"/>
      <c r="H31" s="15"/>
      <c r="I31" s="15"/>
      <c r="J31" s="15"/>
      <c r="K31" s="15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D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80469" style="32" customWidth="1"/>
    <col min="2" max="2" width="9.48438" style="32" customWidth="1"/>
    <col min="3" max="4" width="9.29688" style="32" customWidth="1"/>
    <col min="5" max="16384" width="16.3516" style="32" customWidth="1"/>
  </cols>
  <sheetData>
    <row r="1" ht="40.65" customHeight="1"/>
    <row r="2" ht="27.65" customHeight="1">
      <c r="B2" t="s" s="2">
        <v>49</v>
      </c>
      <c r="C2" s="2"/>
      <c r="D2" s="2"/>
    </row>
    <row r="3" ht="20.25" customHeight="1">
      <c r="B3" t="s" s="5">
        <v>1</v>
      </c>
      <c r="C3" t="s" s="5">
        <v>50</v>
      </c>
      <c r="D3" t="s" s="5">
        <v>36</v>
      </c>
    </row>
    <row r="4" ht="20.25" customHeight="1">
      <c r="B4" s="24">
        <v>2010</v>
      </c>
      <c r="C4" s="25"/>
      <c r="D4" s="26"/>
    </row>
    <row r="5" ht="20.05" customHeight="1">
      <c r="B5" s="27">
        <v>2011</v>
      </c>
      <c r="C5" s="14"/>
      <c r="D5" s="15"/>
    </row>
    <row r="6" ht="20.05" customHeight="1">
      <c r="B6" s="27">
        <v>2012</v>
      </c>
      <c r="C6" s="14"/>
      <c r="D6" s="15"/>
    </row>
    <row r="7" ht="20.05" customHeight="1">
      <c r="B7" s="27">
        <v>2013</v>
      </c>
      <c r="C7" s="14">
        <v>960</v>
      </c>
      <c r="D7" s="15"/>
    </row>
    <row r="8" ht="20.05" customHeight="1">
      <c r="B8" s="27">
        <v>2014</v>
      </c>
      <c r="C8" s="14">
        <v>1030</v>
      </c>
      <c r="D8" s="15"/>
    </row>
    <row r="9" ht="20.05" customHeight="1">
      <c r="B9" s="27">
        <v>2015</v>
      </c>
      <c r="C9" s="14">
        <v>802</v>
      </c>
      <c r="D9" s="15"/>
    </row>
    <row r="10" ht="20.05" customHeight="1">
      <c r="B10" s="27">
        <v>2016</v>
      </c>
      <c r="C10" s="14">
        <v>700</v>
      </c>
      <c r="D10" s="15"/>
    </row>
    <row r="11" ht="20.05" customHeight="1">
      <c r="B11" s="27">
        <v>2017</v>
      </c>
      <c r="C11" s="14">
        <v>716</v>
      </c>
      <c r="D11" s="15"/>
    </row>
    <row r="12" ht="20.05" customHeight="1">
      <c r="B12" s="27">
        <v>2018</v>
      </c>
      <c r="C12" s="14">
        <v>794</v>
      </c>
      <c r="D12" s="15"/>
    </row>
    <row r="13" ht="20.05" customHeight="1">
      <c r="B13" s="28"/>
      <c r="C13" s="14">
        <v>900</v>
      </c>
      <c r="D13" s="15"/>
    </row>
    <row r="14" ht="20.05" customHeight="1">
      <c r="B14" s="28"/>
      <c r="C14" s="14">
        <v>820</v>
      </c>
      <c r="D14" s="15"/>
    </row>
    <row r="15" ht="20.05" customHeight="1">
      <c r="B15" s="28"/>
      <c r="C15" s="14">
        <v>760</v>
      </c>
      <c r="D15" s="15"/>
    </row>
    <row r="16" ht="20.05" customHeight="1">
      <c r="B16" s="27">
        <v>2019</v>
      </c>
      <c r="C16" s="14">
        <v>760</v>
      </c>
      <c r="D16" s="15"/>
    </row>
    <row r="17" ht="20.05" customHeight="1">
      <c r="B17" s="28"/>
      <c r="C17" s="14">
        <v>702</v>
      </c>
      <c r="D17" s="15"/>
    </row>
    <row r="18" ht="20.05" customHeight="1">
      <c r="B18" s="28"/>
      <c r="C18" s="14">
        <v>722</v>
      </c>
      <c r="D18" s="15"/>
    </row>
    <row r="19" ht="20.05" customHeight="1">
      <c r="B19" s="28"/>
      <c r="C19" s="14">
        <v>724</v>
      </c>
      <c r="D19" s="15"/>
    </row>
    <row r="20" ht="20.05" customHeight="1">
      <c r="B20" s="27">
        <v>2020</v>
      </c>
      <c r="C20" s="14">
        <v>700</v>
      </c>
      <c r="D20" s="15"/>
    </row>
    <row r="21" ht="20.05" customHeight="1">
      <c r="B21" s="28"/>
      <c r="C21" s="14">
        <v>550</v>
      </c>
      <c r="D21" s="15"/>
    </row>
    <row r="22" ht="20.05" customHeight="1">
      <c r="B22" s="28"/>
      <c r="C22" s="14">
        <v>630</v>
      </c>
      <c r="D22" s="15"/>
    </row>
    <row r="23" ht="20.05" customHeight="1">
      <c r="B23" s="28"/>
      <c r="C23" s="14">
        <v>686</v>
      </c>
      <c r="D23" s="15"/>
    </row>
    <row r="24" ht="20.05" customHeight="1">
      <c r="B24" s="27">
        <v>2021</v>
      </c>
      <c r="C24" s="14">
        <v>1030</v>
      </c>
      <c r="D24" s="15"/>
    </row>
    <row r="25" ht="20.05" customHeight="1">
      <c r="B25" s="28"/>
      <c r="C25" s="14">
        <v>1765</v>
      </c>
      <c r="D25" s="20"/>
    </row>
    <row r="26" ht="20.05" customHeight="1">
      <c r="B26" s="28"/>
      <c r="C26" s="14">
        <v>1895</v>
      </c>
      <c r="D26" s="20"/>
    </row>
    <row r="27" ht="20.05" customHeight="1">
      <c r="B27" s="28"/>
      <c r="C27" s="14">
        <v>2800</v>
      </c>
      <c r="D27" s="20"/>
    </row>
    <row r="28" ht="20.05" customHeight="1">
      <c r="B28" s="27">
        <v>2022</v>
      </c>
      <c r="C28" s="14">
        <v>2760</v>
      </c>
      <c r="D28" s="15">
        <f>C28</f>
        <v>2760</v>
      </c>
    </row>
    <row r="29" ht="20.05" customHeight="1">
      <c r="B29" s="28"/>
      <c r="C29" s="14"/>
      <c r="D29" s="15">
        <f>'Model'!E42</f>
        <v>1549.808338520120</v>
      </c>
    </row>
    <row r="30" ht="20.05" customHeight="1">
      <c r="B30" s="28"/>
      <c r="C30" s="14"/>
      <c r="D30" s="20"/>
    </row>
    <row r="31" ht="20.05" customHeight="1">
      <c r="B31" s="28"/>
      <c r="C31" s="14"/>
      <c r="D31" s="20"/>
    </row>
  </sheetData>
  <mergeCells count="1">
    <mergeCell ref="B2:D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80469" style="33" customWidth="1"/>
    <col min="2" max="2" width="9.48438" style="33" customWidth="1"/>
    <col min="3" max="5" width="9.29688" style="33" customWidth="1"/>
    <col min="6" max="16384" width="16.3516" style="33" customWidth="1"/>
  </cols>
  <sheetData>
    <row r="1" ht="40.65" customHeight="1"/>
    <row r="2" ht="27.65" customHeight="1">
      <c r="B2" t="s" s="2">
        <v>27</v>
      </c>
      <c r="C2" s="2"/>
      <c r="D2" s="2"/>
      <c r="E2" s="2"/>
    </row>
    <row r="3" ht="20.25" customHeight="1">
      <c r="B3" t="s" s="5">
        <v>1</v>
      </c>
      <c r="C3" t="s" s="5">
        <v>10</v>
      </c>
      <c r="D3" t="s" s="5">
        <v>11</v>
      </c>
      <c r="E3" t="s" s="5">
        <v>51</v>
      </c>
    </row>
    <row r="4" ht="20.25" customHeight="1">
      <c r="B4" s="24">
        <v>2010</v>
      </c>
      <c r="C4" s="25">
        <v>-1083.021</v>
      </c>
      <c r="D4" s="26">
        <v>19.652</v>
      </c>
      <c r="E4" s="26">
        <v>-1063.369</v>
      </c>
    </row>
    <row r="5" ht="20.05" customHeight="1">
      <c r="B5" s="27">
        <v>2011</v>
      </c>
      <c r="C5" s="14">
        <v>-157.447</v>
      </c>
      <c r="D5" s="15">
        <v>50.79</v>
      </c>
      <c r="E5" s="15">
        <v>-106.657</v>
      </c>
    </row>
    <row r="6" ht="20.05" customHeight="1">
      <c r="B6" s="27">
        <v>2012</v>
      </c>
      <c r="C6" s="14">
        <v>697.253</v>
      </c>
      <c r="D6" s="15">
        <v>293.19</v>
      </c>
      <c r="E6" s="15">
        <v>990.443</v>
      </c>
    </row>
    <row r="7" ht="20.05" customHeight="1">
      <c r="B7" s="27">
        <v>2013</v>
      </c>
      <c r="C7" s="14">
        <v>1889.553</v>
      </c>
      <c r="D7" s="15">
        <v>1779.49</v>
      </c>
      <c r="E7" s="15">
        <v>3669.043</v>
      </c>
    </row>
    <row r="8" ht="20.05" customHeight="1">
      <c r="B8" s="27">
        <v>2014</v>
      </c>
      <c r="C8" s="14">
        <v>2009.553</v>
      </c>
      <c r="D8" s="15">
        <v>1775.89</v>
      </c>
      <c r="E8" s="15">
        <v>3785.443</v>
      </c>
    </row>
    <row r="9" ht="20.05" customHeight="1">
      <c r="B9" s="27">
        <v>2015</v>
      </c>
      <c r="C9" s="14">
        <v>2061.053</v>
      </c>
      <c r="D9" s="15">
        <v>1770.09</v>
      </c>
      <c r="E9" s="15">
        <v>3831.143</v>
      </c>
    </row>
    <row r="10" ht="20.05" customHeight="1">
      <c r="B10" s="27">
        <v>2016</v>
      </c>
      <c r="C10" s="14">
        <v>2010.853</v>
      </c>
      <c r="D10" s="15">
        <v>1516.79</v>
      </c>
      <c r="E10" s="15">
        <v>3527.643</v>
      </c>
    </row>
    <row r="11" ht="20.05" customHeight="1">
      <c r="B11" s="27">
        <v>2017</v>
      </c>
      <c r="C11" s="14">
        <v>754.353</v>
      </c>
      <c r="D11" s="15">
        <v>1278.89</v>
      </c>
      <c r="E11" s="15">
        <v>2033.243</v>
      </c>
    </row>
    <row r="12" ht="20.05" customHeight="1">
      <c r="B12" s="27">
        <v>2018</v>
      </c>
      <c r="C12" s="14">
        <v>1245.763</v>
      </c>
      <c r="D12" s="15">
        <v>1278.88</v>
      </c>
      <c r="E12" s="15">
        <v>2524.643</v>
      </c>
    </row>
    <row r="13" ht="20.05" customHeight="1">
      <c r="B13" s="28"/>
      <c r="C13" s="14">
        <v>556.653</v>
      </c>
      <c r="D13" s="15">
        <v>1277.09</v>
      </c>
      <c r="E13" s="15">
        <v>1833.743</v>
      </c>
    </row>
    <row r="14" ht="20.05" customHeight="1">
      <c r="B14" s="28"/>
      <c r="C14" s="14">
        <v>846.553</v>
      </c>
      <c r="D14" s="15">
        <v>1071.69</v>
      </c>
      <c r="E14" s="15">
        <v>1918.243</v>
      </c>
    </row>
    <row r="15" ht="20.05" customHeight="1">
      <c r="B15" s="28"/>
      <c r="C15" s="14">
        <v>1129.553</v>
      </c>
      <c r="D15" s="15">
        <v>1071.59</v>
      </c>
      <c r="E15" s="15">
        <v>2201.143</v>
      </c>
    </row>
    <row r="16" ht="20.05" customHeight="1">
      <c r="B16" s="27">
        <v>2019</v>
      </c>
      <c r="C16" s="14">
        <v>1165.553</v>
      </c>
      <c r="D16" s="15">
        <v>839.39</v>
      </c>
      <c r="E16" s="15">
        <v>2004.943</v>
      </c>
    </row>
    <row r="17" ht="20.05" customHeight="1">
      <c r="B17" s="28"/>
      <c r="C17" s="14">
        <v>1174.553</v>
      </c>
      <c r="D17" s="15">
        <v>534.39</v>
      </c>
      <c r="E17" s="15">
        <v>1708.943</v>
      </c>
    </row>
    <row r="18" ht="20.05" customHeight="1">
      <c r="B18" s="28"/>
      <c r="C18" s="14">
        <v>1005.953</v>
      </c>
      <c r="D18" s="15">
        <v>541.1900000000001</v>
      </c>
      <c r="E18" s="15">
        <v>1547.143</v>
      </c>
    </row>
    <row r="19" ht="20.05" customHeight="1">
      <c r="B19" s="28"/>
      <c r="C19" s="14">
        <v>607.663</v>
      </c>
      <c r="D19" s="15">
        <v>528.88</v>
      </c>
      <c r="E19" s="15">
        <v>1136.543</v>
      </c>
    </row>
    <row r="20" ht="20.05" customHeight="1">
      <c r="B20" s="27">
        <v>2020</v>
      </c>
      <c r="C20" s="14">
        <v>908.463</v>
      </c>
      <c r="D20" s="15">
        <v>526.08</v>
      </c>
      <c r="E20" s="15">
        <v>1434.543</v>
      </c>
    </row>
    <row r="21" ht="20.05" customHeight="1">
      <c r="B21" s="28"/>
      <c r="C21" s="14">
        <v>541.563</v>
      </c>
      <c r="D21" s="15">
        <v>503.38</v>
      </c>
      <c r="E21" s="15">
        <v>1044.943</v>
      </c>
    </row>
    <row r="22" ht="20.05" customHeight="1">
      <c r="B22" s="28"/>
      <c r="C22" s="14">
        <v>579.063</v>
      </c>
      <c r="D22" s="15">
        <v>303.18</v>
      </c>
      <c r="E22" s="15">
        <v>882.2430000000001</v>
      </c>
    </row>
    <row r="23" ht="20.05" customHeight="1">
      <c r="B23" s="28"/>
      <c r="C23" s="14">
        <v>518.8630000000001</v>
      </c>
      <c r="D23" s="15">
        <v>303.18</v>
      </c>
      <c r="E23" s="15">
        <v>822.043</v>
      </c>
    </row>
    <row r="24" ht="20.05" customHeight="1">
      <c r="B24" s="27">
        <v>2021</v>
      </c>
      <c r="C24" s="14">
        <v>1343.218</v>
      </c>
      <c r="D24" s="15">
        <v>303.18</v>
      </c>
      <c r="E24" s="15">
        <v>1646.398</v>
      </c>
    </row>
    <row r="25" ht="20.05" customHeight="1">
      <c r="B25" s="28"/>
      <c r="C25" s="14">
        <v>758.6</v>
      </c>
      <c r="D25" s="15">
        <v>6.86</v>
      </c>
      <c r="E25" s="15">
        <v>765.46</v>
      </c>
    </row>
    <row r="26" ht="20.05" customHeight="1">
      <c r="B26" s="28"/>
      <c r="C26" s="14">
        <v>748.499</v>
      </c>
      <c r="D26" s="15">
        <v>6.87</v>
      </c>
      <c r="E26" s="15">
        <v>755.369</v>
      </c>
    </row>
    <row r="27" ht="20.05" customHeight="1">
      <c r="B27" s="28"/>
      <c r="C27" s="14">
        <v>1198.489</v>
      </c>
      <c r="D27" s="15">
        <v>6.88</v>
      </c>
      <c r="E27" s="15">
        <v>1205.369</v>
      </c>
    </row>
    <row r="28" ht="20.05" customHeight="1">
      <c r="B28" s="27">
        <v>2022</v>
      </c>
      <c r="C28" s="19"/>
      <c r="D28" s="20"/>
      <c r="E28" s="20"/>
    </row>
    <row r="29" ht="20.05" customHeight="1">
      <c r="B29" s="28"/>
      <c r="C29" s="19"/>
      <c r="D29" s="20"/>
      <c r="E29" s="20"/>
    </row>
    <row r="30" ht="20.05" customHeight="1">
      <c r="B30" s="28"/>
      <c r="C30" s="19"/>
      <c r="D30" s="20"/>
      <c r="E30" s="20"/>
    </row>
    <row r="31" ht="20.05" customHeight="1">
      <c r="B31" s="28"/>
      <c r="C31" s="19"/>
      <c r="D31" s="20"/>
      <c r="E31" s="20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