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Capital " sheetId="6" r:id="rId9"/>
  </sheets>
</workbook>
</file>

<file path=xl/sharedStrings.xml><?xml version="1.0" encoding="utf-8"?>
<sst xmlns="http://schemas.openxmlformats.org/spreadsheetml/2006/main" uniqueCount="93">
  <si>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</si>
  <si>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</si>
  <si>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</si>
  <si>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</si>
  <si>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</si>
  <si>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</si>
  <si>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</si>
  <si>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</si>
  <si>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</si>
  <si>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</si>
  <si>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</si>
  <si>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</si>
  <si>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</si>
  <si>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</si>
  <si>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</si>
  <si>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</si>
  <si>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</si>
  <si>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</si>
  <si>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>Change</t>
  </si>
  <si>
    <t xml:space="preserve">Ending </t>
  </si>
  <si>
    <t xml:space="preserve">Profit </t>
  </si>
  <si>
    <t>Non cash costs</t>
  </si>
  <si>
    <t>Profit</t>
  </si>
  <si>
    <t>Balance sheet</t>
  </si>
  <si>
    <t>Other assets</t>
  </si>
  <si>
    <t xml:space="preserve">Depreciation </t>
  </si>
  <si>
    <t xml:space="preserve">Net other assets </t>
  </si>
  <si>
    <t xml:space="preserve">Check </t>
  </si>
  <si>
    <t>Net cash</t>
  </si>
  <si>
    <t xml:space="preserve">Valuation </t>
  </si>
  <si>
    <t>Capital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</si>
  <si>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</si>
  <si>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</si>
  <si>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</si>
  <si>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</si>
  <si>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</si>
  <si>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</si>
  <si>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</si>
  <si>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</si>
  <si>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</si>
  <si>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</si>
  <si>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</si>
  <si>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</si>
  <si>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Rp bn</t>
  </si>
  <si>
    <t xml:space="preserve">Sales growth </t>
  </si>
  <si>
    <t xml:space="preserve">Cost ratio </t>
  </si>
  <si>
    <t>Receipts</t>
  </si>
  <si>
    <t>Investment</t>
  </si>
  <si>
    <t>Liabilities</t>
  </si>
  <si>
    <t>Equity</t>
  </si>
  <si>
    <t>Finance</t>
  </si>
  <si>
    <t xml:space="preserve">Free cashflow </t>
  </si>
  <si>
    <t>Cash</t>
  </si>
  <si>
    <t>Assets</t>
  </si>
  <si>
    <t>Check</t>
  </si>
  <si>
    <t xml:space="preserve">Net cash </t>
  </si>
  <si>
    <t>Share price</t>
  </si>
  <si>
    <t>SMSM</t>
  </si>
  <si>
    <t>Previous target</t>
  </si>
  <si>
    <t>Capital-1</t>
  </si>
  <si>
    <t xml:space="preserve">Total </t>
  </si>
  <si>
    <t>Table 1-1</t>
  </si>
  <si>
    <t>Market value</t>
  </si>
  <si>
    <t xml:space="preserve">capital history </t>
  </si>
  <si>
    <t>of market value</t>
  </si>
  <si>
    <t>paid every year since 2016</t>
  </si>
  <si>
    <t xml:space="preserve">Start date </t>
  </si>
  <si>
    <t xml:space="preserve">Number of quarters </t>
  </si>
  <si>
    <t>Market value Rpbn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</si>
  <si>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</si>
  <si>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</si>
  <si>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</si>
  <si>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</si>
  <si>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</si>
  <si>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</si>
  <si>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</si>
  <si>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</si>
  <si>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</si>
  <si>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</si>
  <si>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</si>
  <si>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</si>
  <si>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</si>
  <si>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</si>
  <si>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</si>
  <si>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</si>
  <si>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>paid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</si>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</sst>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0%_);[Red]\(0%\)"/>
    <numFmt numFmtId="60" formatCode="0.0"/>
    <numFmt numFmtId="61" formatCode="#,##0%"/>
    <numFmt numFmtId="62" formatCode="[$IDR]0"/>
    <numFmt numFmtId="63" formatCode="d mmm yyyy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Helvetica Neue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borderId="7" applyNumberFormat="0" applyFont="1" applyFill="0" applyBorder="1" applyAlignment="1" applyProtection="0">
      <alignment horizontal="right" vertical="top" wrapText="1"/>
    </xf>
    <xf numFmtId="3" fontId="3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3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  <rgbColor rgb="ffb8b8b8"/>
      <rgbColor rgb="fffefffe"/>
      <rgbColor rgb="fff8ba00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6458"/>
          <c:y val="0.0446026"/>
          <c:w val="0.844913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'!$A$3:$A$29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'Capital '!$E$3:$E$29</c:f>
              <c:numCache>
                <c:ptCount val="27"/>
                <c:pt idx="0">
                  <c:v>7.000000</c:v>
                </c:pt>
                <c:pt idx="1">
                  <c:v>-24.000000</c:v>
                </c:pt>
                <c:pt idx="2">
                  <c:v>1.000000</c:v>
                </c:pt>
                <c:pt idx="3">
                  <c:v>-25.000000</c:v>
                </c:pt>
                <c:pt idx="4">
                  <c:v>-7.000000</c:v>
                </c:pt>
                <c:pt idx="5">
                  <c:v>73.000000</c:v>
                </c:pt>
                <c:pt idx="6">
                  <c:v>71.000000</c:v>
                </c:pt>
                <c:pt idx="7">
                  <c:v>45.000000</c:v>
                </c:pt>
                <c:pt idx="8">
                  <c:v>40.000000</c:v>
                </c:pt>
                <c:pt idx="9">
                  <c:v>55.000000</c:v>
                </c:pt>
                <c:pt idx="10">
                  <c:v>35.000000</c:v>
                </c:pt>
                <c:pt idx="11">
                  <c:v>40.000000</c:v>
                </c:pt>
                <c:pt idx="12">
                  <c:v>104.000000</c:v>
                </c:pt>
                <c:pt idx="13">
                  <c:v>114.000000</c:v>
                </c:pt>
                <c:pt idx="14">
                  <c:v>108.000000</c:v>
                </c:pt>
                <c:pt idx="15">
                  <c:v>223.000000</c:v>
                </c:pt>
                <c:pt idx="16">
                  <c:v>221.000000</c:v>
                </c:pt>
                <c:pt idx="17">
                  <c:v>281.000000</c:v>
                </c:pt>
                <c:pt idx="18">
                  <c:v>226.000000</c:v>
                </c:pt>
                <c:pt idx="19">
                  <c:v>158.000000</c:v>
                </c:pt>
                <c:pt idx="20">
                  <c:v>134.000000</c:v>
                </c:pt>
                <c:pt idx="21">
                  <c:v>-28.000000</c:v>
                </c:pt>
                <c:pt idx="22">
                  <c:v>-81.000000</c:v>
                </c:pt>
                <c:pt idx="23">
                  <c:v>-100.000000</c:v>
                </c:pt>
                <c:pt idx="24">
                  <c:v>-108.000000</c:v>
                </c:pt>
                <c:pt idx="25">
                  <c:v>-121.000000</c:v>
                </c:pt>
                <c:pt idx="26">
                  <c:v>2.800000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'!$A$3:$A$29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'Capital '!$F$3:$F$29</c:f>
              <c:numCache>
                <c:ptCount val="27"/>
                <c:pt idx="0">
                  <c:v>0.000000</c:v>
                </c:pt>
                <c:pt idx="1">
                  <c:v>60.000000</c:v>
                </c:pt>
                <c:pt idx="2">
                  <c:v>52.000000</c:v>
                </c:pt>
                <c:pt idx="3">
                  <c:v>41.000000</c:v>
                </c:pt>
                <c:pt idx="4">
                  <c:v>14.000000</c:v>
                </c:pt>
                <c:pt idx="5">
                  <c:v>36.000000</c:v>
                </c:pt>
                <c:pt idx="6">
                  <c:v>18.000000</c:v>
                </c:pt>
                <c:pt idx="7">
                  <c:v>11.000000</c:v>
                </c:pt>
                <c:pt idx="8">
                  <c:v>-37.000000</c:v>
                </c:pt>
                <c:pt idx="9">
                  <c:v>-122.000000</c:v>
                </c:pt>
                <c:pt idx="10">
                  <c:v>-163.000000</c:v>
                </c:pt>
                <c:pt idx="11">
                  <c:v>-193.000000</c:v>
                </c:pt>
                <c:pt idx="12">
                  <c:v>-246.000000</c:v>
                </c:pt>
                <c:pt idx="13">
                  <c:v>-275.000000</c:v>
                </c:pt>
                <c:pt idx="14">
                  <c:v>-481.000000</c:v>
                </c:pt>
                <c:pt idx="15">
                  <c:v>-623.000000</c:v>
                </c:pt>
                <c:pt idx="16">
                  <c:v>-747.000000</c:v>
                </c:pt>
                <c:pt idx="17">
                  <c:v>-974.000000</c:v>
                </c:pt>
                <c:pt idx="18">
                  <c:v>-1132.000000</c:v>
                </c:pt>
                <c:pt idx="19">
                  <c:v>-1390.000000</c:v>
                </c:pt>
                <c:pt idx="20">
                  <c:v>-1600.000000</c:v>
                </c:pt>
                <c:pt idx="21">
                  <c:v>-1921.000000</c:v>
                </c:pt>
                <c:pt idx="22">
                  <c:v>-2236.000000</c:v>
                </c:pt>
                <c:pt idx="23">
                  <c:v>-2566.000000</c:v>
                </c:pt>
                <c:pt idx="24">
                  <c:v>-2932.000000</c:v>
                </c:pt>
                <c:pt idx="25">
                  <c:v>-3308.000000</c:v>
                </c:pt>
                <c:pt idx="26">
                  <c:v>-3754.600000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F8BA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F8BA00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'!$A$3:$A$29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'Capital '!$G$3:$G$29</c:f>
              <c:numCache>
                <c:ptCount val="27"/>
                <c:pt idx="0">
                  <c:v>7.000000</c:v>
                </c:pt>
                <c:pt idx="1">
                  <c:v>36.000000</c:v>
                </c:pt>
                <c:pt idx="2">
                  <c:v>53.000000</c:v>
                </c:pt>
                <c:pt idx="3">
                  <c:v>16.000000</c:v>
                </c:pt>
                <c:pt idx="4">
                  <c:v>7.000000</c:v>
                </c:pt>
                <c:pt idx="5">
                  <c:v>109.000000</c:v>
                </c:pt>
                <c:pt idx="6">
                  <c:v>89.000000</c:v>
                </c:pt>
                <c:pt idx="7">
                  <c:v>56.000000</c:v>
                </c:pt>
                <c:pt idx="8">
                  <c:v>3.000000</c:v>
                </c:pt>
                <c:pt idx="9">
                  <c:v>-67.000000</c:v>
                </c:pt>
                <c:pt idx="10">
                  <c:v>-128.000000</c:v>
                </c:pt>
                <c:pt idx="11">
                  <c:v>-153.000000</c:v>
                </c:pt>
                <c:pt idx="12">
                  <c:v>-142.000000</c:v>
                </c:pt>
                <c:pt idx="13">
                  <c:v>-161.000000</c:v>
                </c:pt>
                <c:pt idx="14">
                  <c:v>-373.000000</c:v>
                </c:pt>
                <c:pt idx="15">
                  <c:v>-400.000000</c:v>
                </c:pt>
                <c:pt idx="16">
                  <c:v>-526.000000</c:v>
                </c:pt>
                <c:pt idx="17">
                  <c:v>-693.000000</c:v>
                </c:pt>
                <c:pt idx="18">
                  <c:v>-906.000000</c:v>
                </c:pt>
                <c:pt idx="19">
                  <c:v>-1232.000000</c:v>
                </c:pt>
                <c:pt idx="20">
                  <c:v>-1466.000000</c:v>
                </c:pt>
                <c:pt idx="21">
                  <c:v>-1949.000000</c:v>
                </c:pt>
                <c:pt idx="22">
                  <c:v>-2317.000000</c:v>
                </c:pt>
                <c:pt idx="23">
                  <c:v>-2666.000000</c:v>
                </c:pt>
                <c:pt idx="24">
                  <c:v>-3040.000000</c:v>
                </c:pt>
                <c:pt idx="25">
                  <c:v>-3429.000000</c:v>
                </c:pt>
                <c:pt idx="26">
                  <c:v>-3751.800000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000"/>
        <c:minorUnit val="150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47045"/>
          <c:y val="0.0956075"/>
          <c:w val="0.377412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466467</xdr:colOff>
      <xdr:row>1</xdr:row>
      <xdr:rowOff>345350</xdr:rowOff>
    </xdr:from>
    <xdr:to>
      <xdr:col>13</xdr:col>
      <xdr:colOff>878718</xdr:colOff>
      <xdr:row>49</xdr:row>
      <xdr:rowOff>134765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78067" y="716190"/>
          <a:ext cx="9124452" cy="1211349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357695</xdr:colOff>
      <xdr:row>34</xdr:row>
      <xdr:rowOff>107463</xdr:rowOff>
    </xdr:from>
    <xdr:to>
      <xdr:col>4</xdr:col>
      <xdr:colOff>130809</xdr:colOff>
      <xdr:row>42</xdr:row>
      <xdr:rowOff>493098</xdr:rowOff>
    </xdr:to>
    <xdr:graphicFrame>
      <xdr:nvGraphicFramePr>
        <xdr:cNvPr id="4" name="2D Line Chart"/>
        <xdr:cNvGraphicFramePr/>
      </xdr:nvGraphicFramePr>
      <xdr:xfrm>
        <a:off x="357695" y="8966348"/>
        <a:ext cx="3532315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436184</xdr:colOff>
      <xdr:row>31</xdr:row>
      <xdr:rowOff>174137</xdr:rowOff>
    </xdr:from>
    <xdr:to>
      <xdr:col>4</xdr:col>
      <xdr:colOff>187468</xdr:colOff>
      <xdr:row>34</xdr:row>
      <xdr:rowOff>204824</xdr:rowOff>
    </xdr:to>
    <xdr:sp>
      <xdr:nvSpPr>
        <xdr:cNvPr id="5" name="SMSM -3.8 trillion rupiah paid since 1995"/>
        <xdr:cNvSpPr txBox="1"/>
      </xdr:nvSpPr>
      <xdr:spPr>
        <a:xfrm>
          <a:off x="436184" y="8167517"/>
          <a:ext cx="3510485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SMSM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-3.8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paid since 1995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07031" style="1" customWidth="1"/>
    <col min="2" max="2" width="16.7266" style="1" customWidth="1"/>
    <col min="3" max="6" width="8.09375" style="1" customWidth="1"/>
    <col min="7" max="16384" width="16.3516" style="1" customWidth="1"/>
  </cols>
  <sheetData>
    <row r="1" ht="29.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3">
        <v>2</v>
      </c>
      <c r="F3" s="4"/>
    </row>
    <row r="4" ht="20.25" customHeight="1">
      <c r="B4" t="s" s="5">
        <v>3</v>
      </c>
      <c r="C4" s="6">
        <f>AVERAGE('Sales'!G24:G27)</f>
        <v>0.0501050758754088</v>
      </c>
      <c r="D4" s="7"/>
      <c r="E4" s="7"/>
      <c r="F4" s="8">
        <f>AVERAGE(C5:F5)</f>
        <v>0.025</v>
      </c>
    </row>
    <row r="5" ht="20.05" customHeight="1">
      <c r="B5" t="s" s="9">
        <v>4</v>
      </c>
      <c r="C5" s="10">
        <v>0.05</v>
      </c>
      <c r="D5" s="11">
        <v>0.03</v>
      </c>
      <c r="E5" s="11">
        <v>0.03</v>
      </c>
      <c r="F5" s="11">
        <v>-0.01</v>
      </c>
    </row>
    <row r="6" ht="20.05" customHeight="1">
      <c r="B6" t="s" s="9">
        <v>5</v>
      </c>
      <c r="C6" s="12">
        <f>'Sales'!C27*(1+C5)</f>
        <v>1238.79</v>
      </c>
      <c r="D6" s="13">
        <f>C6*(1+D5)</f>
        <v>1275.9537</v>
      </c>
      <c r="E6" s="13">
        <f>D6*(1+E5)</f>
        <v>1314.232311</v>
      </c>
      <c r="F6" s="13">
        <f>E6*(1+F5)</f>
        <v>1301.08998789</v>
      </c>
    </row>
    <row r="7" ht="20.05" customHeight="1">
      <c r="B7" t="s" s="9">
        <v>6</v>
      </c>
      <c r="C7" s="10">
        <f>AVERAGE('Sales'!I27)</f>
        <v>-0.794712399483827</v>
      </c>
      <c r="D7" s="11">
        <f>C7</f>
        <v>-0.794712399483827</v>
      </c>
      <c r="E7" s="11">
        <f>D7</f>
        <v>-0.794712399483827</v>
      </c>
      <c r="F7" s="11">
        <f>E7</f>
        <v>-0.794712399483827</v>
      </c>
    </row>
    <row r="8" ht="20.05" customHeight="1">
      <c r="B8" t="s" s="9">
        <v>7</v>
      </c>
      <c r="C8" s="14">
        <f>C6*C7</f>
        <v>-984.481773356570</v>
      </c>
      <c r="D8" s="15">
        <f>D6*D7</f>
        <v>-1014.016226557270</v>
      </c>
      <c r="E8" s="15">
        <f>E6*E7</f>
        <v>-1044.436713353990</v>
      </c>
      <c r="F8" s="15">
        <f>F6*F7</f>
        <v>-1033.992346220450</v>
      </c>
    </row>
    <row r="9" ht="20.05" customHeight="1">
      <c r="B9" t="s" s="9">
        <v>8</v>
      </c>
      <c r="C9" s="16">
        <f>C6+C8</f>
        <v>254.308226643430</v>
      </c>
      <c r="D9" s="17">
        <f>D6+D8</f>
        <v>261.937473442730</v>
      </c>
      <c r="E9" s="17">
        <f>E6+E8</f>
        <v>269.795597646010</v>
      </c>
      <c r="F9" s="17">
        <f>F6+F8</f>
        <v>267.097641669550</v>
      </c>
    </row>
    <row r="10" ht="20.05" customHeight="1">
      <c r="B10" t="s" s="9">
        <v>9</v>
      </c>
      <c r="C10" s="16">
        <f>AVERAGE('Cashflow '!E26:E28)</f>
        <v>-35.7666666666667</v>
      </c>
      <c r="D10" s="17">
        <f>C10</f>
        <v>-35.7666666666667</v>
      </c>
      <c r="E10" s="17">
        <f>D10</f>
        <v>-35.7666666666667</v>
      </c>
      <c r="F10" s="17">
        <f>E10</f>
        <v>-35.7666666666667</v>
      </c>
    </row>
    <row r="11" ht="20.05" customHeight="1">
      <c r="B11" t="s" s="9">
        <v>10</v>
      </c>
      <c r="C11" s="14">
        <f>AVERAGE('Cashflow '!F28)</f>
        <v>-7.6</v>
      </c>
      <c r="D11" s="15">
        <f>C11</f>
        <v>-7.6</v>
      </c>
      <c r="E11" s="15">
        <f>D11</f>
        <v>-7.6</v>
      </c>
      <c r="F11" s="15">
        <f>E11</f>
        <v>-7.6</v>
      </c>
    </row>
    <row r="12" ht="20.05" customHeight="1">
      <c r="B12" t="s" s="9">
        <v>11</v>
      </c>
      <c r="C12" s="14">
        <f>C13+C16+C14</f>
        <v>-205.685758650401</v>
      </c>
      <c r="D12" s="15">
        <f>D13+D16+D14</f>
        <v>-208.578731409911</v>
      </c>
      <c r="E12" s="15">
        <f>E13+E16+E14</f>
        <v>-211.754293352207</v>
      </c>
      <c r="F12" s="15">
        <f>F13+F16+F14</f>
        <v>-207.656855418685</v>
      </c>
    </row>
    <row r="13" ht="20.05" customHeight="1">
      <c r="B13" t="s" s="9">
        <v>12</v>
      </c>
      <c r="C13" s="16">
        <f>-'Balance sheet'!G28/20</f>
        <v>-48.95</v>
      </c>
      <c r="D13" s="17">
        <f>-C28/20</f>
        <v>-46.5025</v>
      </c>
      <c r="E13" s="17">
        <f>-D28/20</f>
        <v>-44.177375</v>
      </c>
      <c r="F13" s="17">
        <f>-E28/20</f>
        <v>-41.96850625</v>
      </c>
    </row>
    <row r="14" ht="20.05" customHeight="1">
      <c r="B14" t="s" s="9">
        <v>13</v>
      </c>
      <c r="C14" s="14">
        <f>-MIN(0,C17)</f>
        <v>0</v>
      </c>
      <c r="D14" s="15">
        <f>-MIN(C29,D17)</f>
        <v>0</v>
      </c>
      <c r="E14" s="15">
        <f>-MIN(D29,E17)</f>
        <v>0</v>
      </c>
      <c r="F14" s="15">
        <f>-MIN(E29,F17)</f>
        <v>0</v>
      </c>
    </row>
    <row r="15" ht="20.05" customHeight="1">
      <c r="B15" t="s" s="9">
        <v>14</v>
      </c>
      <c r="C15" s="18">
        <v>0.7</v>
      </c>
      <c r="D15" s="15"/>
      <c r="E15" s="15"/>
      <c r="F15" s="15"/>
    </row>
    <row r="16" ht="20.05" customHeight="1">
      <c r="B16" t="s" s="9">
        <v>15</v>
      </c>
      <c r="C16" s="14">
        <f>IF(C23&gt;0,-C23*$C$15,0)</f>
        <v>-156.735758650401</v>
      </c>
      <c r="D16" s="15">
        <f>IF(D23&gt;0,-D23*$C$15,0)</f>
        <v>-162.076231409911</v>
      </c>
      <c r="E16" s="15">
        <f>IF(E23&gt;0,-E23*$C$15,0)</f>
        <v>-167.576918352207</v>
      </c>
      <c r="F16" s="15">
        <f>IF(F23&gt;0,-F23*$C$15,0)</f>
        <v>-165.688349168685</v>
      </c>
    </row>
    <row r="17" ht="20.05" customHeight="1">
      <c r="B17" t="s" s="9">
        <v>16</v>
      </c>
      <c r="C17" s="14">
        <f>C9+C10+C13+C16</f>
        <v>12.8558013263623</v>
      </c>
      <c r="D17" s="15">
        <f>D9+D10+D13+D16</f>
        <v>17.5920753661523</v>
      </c>
      <c r="E17" s="15">
        <f>E9+E10+E13+E16</f>
        <v>22.2746376271363</v>
      </c>
      <c r="F17" s="15">
        <f>F9+F10+F13+F16</f>
        <v>23.6741195841983</v>
      </c>
    </row>
    <row r="18" ht="20.05" customHeight="1">
      <c r="B18" t="s" s="9">
        <v>17</v>
      </c>
      <c r="C18" s="16">
        <f>'Balance sheet'!C28</f>
        <v>884</v>
      </c>
      <c r="D18" s="15">
        <f>C20</f>
        <v>896.855801326362</v>
      </c>
      <c r="E18" s="15">
        <f>D20</f>
        <v>914.447876692514</v>
      </c>
      <c r="F18" s="15">
        <f>E20</f>
        <v>936.722514319650</v>
      </c>
    </row>
    <row r="19" ht="20.05" customHeight="1">
      <c r="B19" t="s" s="9">
        <v>18</v>
      </c>
      <c r="C19" s="14">
        <f>C9+C10+C12</f>
        <v>12.8558013263623</v>
      </c>
      <c r="D19" s="15">
        <f>D9+D10+D12</f>
        <v>17.5920753661523</v>
      </c>
      <c r="E19" s="15">
        <f>E9+E10+E12</f>
        <v>22.2746376271363</v>
      </c>
      <c r="F19" s="15">
        <f>F9+F10+F12</f>
        <v>23.6741195841983</v>
      </c>
    </row>
    <row r="20" ht="20.05" customHeight="1">
      <c r="B20" t="s" s="9">
        <v>19</v>
      </c>
      <c r="C20" s="14">
        <f>C18+C19</f>
        <v>896.855801326362</v>
      </c>
      <c r="D20" s="15">
        <f>D18+D19</f>
        <v>914.447876692514</v>
      </c>
      <c r="E20" s="15">
        <f>E18+E19</f>
        <v>936.722514319650</v>
      </c>
      <c r="F20" s="15">
        <f>F18+F19</f>
        <v>960.3966339038481</v>
      </c>
    </row>
    <row r="21" ht="20.05" customHeight="1">
      <c r="B21" t="s" s="19">
        <v>20</v>
      </c>
      <c r="C21" s="14"/>
      <c r="D21" s="15"/>
      <c r="E21" s="15"/>
      <c r="F21" s="20"/>
    </row>
    <row r="22" ht="20.05" customHeight="1">
      <c r="B22" t="s" s="9">
        <v>21</v>
      </c>
      <c r="C22" s="14">
        <f>-AVERAGE('Sales'!E27)</f>
        <v>-30.4</v>
      </c>
      <c r="D22" s="15">
        <f>C22</f>
        <v>-30.4</v>
      </c>
      <c r="E22" s="15">
        <f>D22</f>
        <v>-30.4</v>
      </c>
      <c r="F22" s="15">
        <f>E22</f>
        <v>-30.4</v>
      </c>
    </row>
    <row r="23" ht="20.05" customHeight="1">
      <c r="B23" t="s" s="9">
        <v>22</v>
      </c>
      <c r="C23" s="14">
        <f>C6+C8+C22</f>
        <v>223.908226643430</v>
      </c>
      <c r="D23" s="15">
        <f>D6+D8+D22</f>
        <v>231.537473442730</v>
      </c>
      <c r="E23" s="15">
        <f>E6+E8+E22</f>
        <v>239.395597646010</v>
      </c>
      <c r="F23" s="15">
        <f>F6+F8+F22</f>
        <v>236.697641669550</v>
      </c>
    </row>
    <row r="24" ht="20.05" customHeight="1">
      <c r="B24" t="s" s="19">
        <v>23</v>
      </c>
      <c r="C24" s="14"/>
      <c r="D24" s="15"/>
      <c r="E24" s="15"/>
      <c r="F24" s="15"/>
    </row>
    <row r="25" ht="20.05" customHeight="1">
      <c r="B25" t="s" s="9">
        <v>24</v>
      </c>
      <c r="C25" s="16">
        <f>'Balance sheet'!E28+'Balance sheet'!F28-C10</f>
        <v>5392.766666666670</v>
      </c>
      <c r="D25" s="17">
        <f>C25-D10</f>
        <v>5428.533333333340</v>
      </c>
      <c r="E25" s="17">
        <f>D25-E10</f>
        <v>5464.300000000010</v>
      </c>
      <c r="F25" s="17">
        <f>E25-F10</f>
        <v>5500.066666666680</v>
      </c>
    </row>
    <row r="26" ht="20.05" customHeight="1">
      <c r="B26" t="s" s="9">
        <v>25</v>
      </c>
      <c r="C26" s="14">
        <f>'Balance sheet'!F28-C22</f>
        <v>2172.4</v>
      </c>
      <c r="D26" s="15">
        <f>C26-D22</f>
        <v>2202.8</v>
      </c>
      <c r="E26" s="15">
        <f>D26-E22</f>
        <v>2233.2</v>
      </c>
      <c r="F26" s="15">
        <f>E26-F22</f>
        <v>2263.6</v>
      </c>
    </row>
    <row r="27" ht="20.05" customHeight="1">
      <c r="B27" t="s" s="9">
        <v>26</v>
      </c>
      <c r="C27" s="14">
        <f>C25-C26</f>
        <v>3220.366666666670</v>
      </c>
      <c r="D27" s="15">
        <f>D25-D26</f>
        <v>3225.733333333340</v>
      </c>
      <c r="E27" s="15">
        <f>E25-E26</f>
        <v>3231.100000000010</v>
      </c>
      <c r="F27" s="15">
        <f>F25-F26</f>
        <v>3236.466666666680</v>
      </c>
    </row>
    <row r="28" ht="20.05" customHeight="1">
      <c r="B28" t="s" s="9">
        <v>12</v>
      </c>
      <c r="C28" s="16">
        <f>'Balance sheet'!G28+C13</f>
        <v>930.05</v>
      </c>
      <c r="D28" s="17">
        <f>C28+D13</f>
        <v>883.5475</v>
      </c>
      <c r="E28" s="17">
        <f>D28+E13</f>
        <v>839.370125</v>
      </c>
      <c r="F28" s="17">
        <f>E28+F13</f>
        <v>797.40161875</v>
      </c>
    </row>
    <row r="29" ht="20.05" customHeight="1">
      <c r="B29" t="s" s="9">
        <v>13</v>
      </c>
      <c r="C29" s="14">
        <f>C14</f>
        <v>0</v>
      </c>
      <c r="D29" s="15">
        <f>C29+D14</f>
        <v>0</v>
      </c>
      <c r="E29" s="15">
        <f>D29+E14</f>
        <v>0</v>
      </c>
      <c r="F29" s="15">
        <f>E29+F14</f>
        <v>0</v>
      </c>
    </row>
    <row r="30" ht="20.05" customHeight="1">
      <c r="B30" t="s" s="9">
        <v>15</v>
      </c>
      <c r="C30" s="14">
        <f>'Balance sheet'!H28+C23+C16</f>
        <v>3187.172467993030</v>
      </c>
      <c r="D30" s="15">
        <f>C30+D23+D16</f>
        <v>3256.633710025850</v>
      </c>
      <c r="E30" s="15">
        <f>D30+E23+E16</f>
        <v>3328.452389319650</v>
      </c>
      <c r="F30" s="15">
        <f>E30+F23+F16</f>
        <v>3399.461681820520</v>
      </c>
    </row>
    <row r="31" ht="20.05" customHeight="1">
      <c r="B31" t="s" s="9">
        <v>27</v>
      </c>
      <c r="C31" s="14">
        <f>C28+C29+C30-C20-C27</f>
        <v>-2e-12</v>
      </c>
      <c r="D31" s="15">
        <f>D28+D29+D30-D20-D27</f>
        <v>-4e-12</v>
      </c>
      <c r="E31" s="15">
        <f>E28+E29+E30-E20-E27</f>
        <v>-9.999999999999999e-12</v>
      </c>
      <c r="F31" s="15">
        <f>F28+F29+F30-F20-F27</f>
        <v>-8e-12</v>
      </c>
    </row>
    <row r="32" ht="20.05" customHeight="1">
      <c r="B32" t="s" s="9">
        <v>28</v>
      </c>
      <c r="C32" s="14">
        <f>C20-C28-C29</f>
        <v>-33.194198673638</v>
      </c>
      <c r="D32" s="15">
        <f>D20-D28-D29</f>
        <v>30.900376692514</v>
      </c>
      <c r="E32" s="15">
        <f>E20-E28-E29</f>
        <v>97.352389319650</v>
      </c>
      <c r="F32" s="15">
        <f>F20-F28-F29</f>
        <v>162.995015153848</v>
      </c>
    </row>
    <row r="33" ht="20.05" customHeight="1">
      <c r="B33" t="s" s="19">
        <v>29</v>
      </c>
      <c r="C33" s="14"/>
      <c r="D33" s="15"/>
      <c r="E33" s="15"/>
      <c r="F33" s="15"/>
    </row>
    <row r="34" ht="20.05" customHeight="1">
      <c r="B34" t="s" s="9">
        <v>30</v>
      </c>
      <c r="C34" s="16">
        <f>'Cashflow '!M28-(C12-C11)</f>
        <v>2238.7357586504</v>
      </c>
      <c r="D34" s="17">
        <f>C34-(D12-D11)</f>
        <v>2439.714490060310</v>
      </c>
      <c r="E34" s="17">
        <f>D34-(E12-E11)</f>
        <v>2643.868783412520</v>
      </c>
      <c r="F34" s="17">
        <f>E34-(F12-F11)</f>
        <v>2843.925638831210</v>
      </c>
    </row>
    <row r="35" ht="20.05" customHeight="1">
      <c r="B35" t="s" s="9">
        <v>31</v>
      </c>
      <c r="C35" s="16"/>
      <c r="D35" s="15"/>
      <c r="E35" s="17"/>
      <c r="F35" s="17">
        <v>8839574323200</v>
      </c>
    </row>
    <row r="36" ht="20.05" customHeight="1">
      <c r="B36" t="s" s="9">
        <v>31</v>
      </c>
      <c r="C36" s="16"/>
      <c r="D36" s="15"/>
      <c r="E36" s="17"/>
      <c r="F36" s="17">
        <f>F35/1000000000</f>
        <v>8839.5743232</v>
      </c>
    </row>
    <row r="37" ht="20.05" customHeight="1">
      <c r="B37" t="s" s="9">
        <v>32</v>
      </c>
      <c r="C37" s="16"/>
      <c r="D37" s="15"/>
      <c r="E37" s="17"/>
      <c r="F37" s="21">
        <f>F36/(F20+F27)</f>
        <v>2.10623355828586</v>
      </c>
    </row>
    <row r="38" ht="20.05" customHeight="1">
      <c r="B38" t="s" s="9">
        <v>33</v>
      </c>
      <c r="C38" s="16"/>
      <c r="D38" s="15"/>
      <c r="E38" s="17"/>
      <c r="F38" s="22">
        <f>-(C16+D16+E16+F16)/F36</f>
        <v>0.07376794783769031</v>
      </c>
    </row>
    <row r="39" ht="20.05" customHeight="1">
      <c r="B39" t="s" s="9">
        <v>3</v>
      </c>
      <c r="C39" s="16"/>
      <c r="D39" s="15"/>
      <c r="E39" s="17"/>
      <c r="F39" s="15">
        <f>SUM(C9:F10)</f>
        <v>910.072272735053</v>
      </c>
    </row>
    <row r="40" ht="20.05" customHeight="1">
      <c r="B40" t="s" s="9">
        <v>34</v>
      </c>
      <c r="C40" s="16"/>
      <c r="D40" s="15"/>
      <c r="E40" s="17"/>
      <c r="F40" s="15">
        <f>'Balance sheet'!E28/F39</f>
        <v>3.53268646493087</v>
      </c>
    </row>
    <row r="41" ht="20.05" customHeight="1">
      <c r="B41" t="s" s="9">
        <v>29</v>
      </c>
      <c r="C41" s="16"/>
      <c r="D41" s="15"/>
      <c r="E41" s="17"/>
      <c r="F41" s="15">
        <f>F36/F39</f>
        <v>9.713046521716681</v>
      </c>
    </row>
    <row r="42" ht="20.05" customHeight="1">
      <c r="B42" t="s" s="9">
        <v>35</v>
      </c>
      <c r="C42" s="16"/>
      <c r="D42" s="15"/>
      <c r="E42" s="17"/>
      <c r="F42" s="15">
        <v>15</v>
      </c>
    </row>
    <row r="43" ht="20.05" customHeight="1">
      <c r="B43" t="s" s="9">
        <v>36</v>
      </c>
      <c r="C43" s="16"/>
      <c r="D43" s="15"/>
      <c r="E43" s="17"/>
      <c r="F43" s="17">
        <f>F39*F42</f>
        <v>13651.0840910258</v>
      </c>
    </row>
    <row r="44" ht="20.05" customHeight="1">
      <c r="B44" t="s" s="9">
        <v>37</v>
      </c>
      <c r="C44" s="16"/>
      <c r="D44" s="15"/>
      <c r="E44" s="17"/>
      <c r="F44" s="17">
        <f>F36/F46</f>
        <v>5.75868034084691</v>
      </c>
    </row>
    <row r="45" ht="20.05" customHeight="1">
      <c r="B45" t="s" s="9">
        <v>38</v>
      </c>
      <c r="C45" s="16"/>
      <c r="D45" s="15"/>
      <c r="E45" s="17"/>
      <c r="F45" s="17">
        <f>F43/F44</f>
        <v>2370.522981488880</v>
      </c>
    </row>
    <row r="46" ht="20.05" customHeight="1">
      <c r="B46" t="s" s="9">
        <v>39</v>
      </c>
      <c r="C46" s="16"/>
      <c r="D46" s="15"/>
      <c r="E46" s="17"/>
      <c r="F46" s="17">
        <v>1535</v>
      </c>
    </row>
    <row r="47" ht="20.05" customHeight="1">
      <c r="B47" t="s" s="9">
        <v>40</v>
      </c>
      <c r="C47" s="16"/>
      <c r="D47" s="15"/>
      <c r="E47" s="17"/>
      <c r="F47" s="22">
        <f>F45/F46-1</f>
        <v>0.544314645921094</v>
      </c>
    </row>
    <row r="48" ht="20.05" customHeight="1">
      <c r="B48" t="s" s="9">
        <v>41</v>
      </c>
      <c r="C48" s="16"/>
      <c r="D48" s="15"/>
      <c r="E48" s="17"/>
      <c r="F48" s="22">
        <f>'Sales'!C27/'Sales'!C23-1</f>
        <v>0.215036045314109</v>
      </c>
    </row>
    <row r="49" ht="20.05" customHeight="1">
      <c r="B49" t="s" s="9">
        <v>42</v>
      </c>
      <c r="C49" s="16"/>
      <c r="D49" s="15"/>
      <c r="E49" s="17"/>
      <c r="F49" s="22">
        <f>'Sales'!F30/'Sales'!E30-1</f>
        <v>-0.0176743600887527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3" customWidth="1"/>
    <col min="2" max="10" width="10.9688" style="23" customWidth="1"/>
    <col min="11" max="16384" width="16.3516" style="23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24">
        <v>43</v>
      </c>
      <c r="C2" t="s" s="24">
        <v>5</v>
      </c>
      <c r="D2" t="s" s="24">
        <v>35</v>
      </c>
      <c r="E2" t="s" s="24">
        <v>21</v>
      </c>
      <c r="F2" t="s" s="24">
        <v>22</v>
      </c>
      <c r="G2" t="s" s="24">
        <v>44</v>
      </c>
      <c r="H2" t="s" s="24">
        <v>45</v>
      </c>
      <c r="I2" t="s" s="24">
        <v>45</v>
      </c>
      <c r="J2" t="s" s="24">
        <v>35</v>
      </c>
    </row>
    <row r="3" ht="20.25" customHeight="1">
      <c r="B3" s="25">
        <v>2016</v>
      </c>
      <c r="C3" s="26">
        <v>622</v>
      </c>
      <c r="D3" s="7"/>
      <c r="E3" s="27">
        <v>23.9</v>
      </c>
      <c r="F3" s="27">
        <v>100</v>
      </c>
      <c r="G3" s="28"/>
      <c r="H3" s="28">
        <f>(E3+F3-C3)/C3</f>
        <v>-0.8008038585209</v>
      </c>
      <c r="I3" s="28"/>
      <c r="J3" s="28"/>
    </row>
    <row r="4" ht="20.05" customHeight="1">
      <c r="B4" s="29"/>
      <c r="C4" s="12">
        <v>716</v>
      </c>
      <c r="D4" s="20"/>
      <c r="E4" s="13">
        <v>25.1</v>
      </c>
      <c r="F4" s="13">
        <v>128</v>
      </c>
      <c r="G4" s="11">
        <f>C4/C3-1</f>
        <v>0.15112540192926</v>
      </c>
      <c r="H4" s="11">
        <f>(E4+F4-C4)/C4</f>
        <v>-0.786173184357542</v>
      </c>
      <c r="I4" s="11"/>
      <c r="J4" s="11"/>
    </row>
    <row r="5" ht="20.05" customHeight="1">
      <c r="B5" s="29"/>
      <c r="C5" s="12">
        <v>706</v>
      </c>
      <c r="D5" s="20"/>
      <c r="E5" s="13">
        <v>26.1</v>
      </c>
      <c r="F5" s="13">
        <v>135</v>
      </c>
      <c r="G5" s="11">
        <f>C5/C4-1</f>
        <v>-0.0139664804469274</v>
      </c>
      <c r="H5" s="11">
        <f>(E5+F5-C5)/C5</f>
        <v>-0.771813031161473</v>
      </c>
      <c r="I5" s="11"/>
      <c r="J5" s="11"/>
    </row>
    <row r="6" ht="20.05" customHeight="1">
      <c r="B6" s="29"/>
      <c r="C6" s="12">
        <v>836</v>
      </c>
      <c r="D6" s="20"/>
      <c r="E6" s="13">
        <v>34.3</v>
      </c>
      <c r="F6" s="13">
        <v>139</v>
      </c>
      <c r="G6" s="11">
        <f>C6/C5-1</f>
        <v>0.18413597733711</v>
      </c>
      <c r="H6" s="11">
        <f>(E6+F6-C6)/C6</f>
        <v>-0.792703349282297</v>
      </c>
      <c r="I6" s="11"/>
      <c r="J6" s="11"/>
    </row>
    <row r="7" ht="20.05" customHeight="1">
      <c r="B7" s="30">
        <v>2017</v>
      </c>
      <c r="C7" s="12">
        <v>757</v>
      </c>
      <c r="D7" s="20"/>
      <c r="E7" s="13">
        <v>21.6</v>
      </c>
      <c r="F7" s="13">
        <v>126</v>
      </c>
      <c r="G7" s="11">
        <f>C7/C6-1</f>
        <v>-0.0944976076555024</v>
      </c>
      <c r="H7" s="11">
        <f>(E7+F7-C7)/C7</f>
        <v>-0.805019815059445</v>
      </c>
      <c r="I7" s="11"/>
      <c r="J7" s="11"/>
    </row>
    <row r="8" ht="20.05" customHeight="1">
      <c r="B8" s="29"/>
      <c r="C8" s="12">
        <v>737</v>
      </c>
      <c r="D8" s="20"/>
      <c r="E8" s="13">
        <v>23.1</v>
      </c>
      <c r="F8" s="13">
        <v>113</v>
      </c>
      <c r="G8" s="11">
        <f>C8/C7-1</f>
        <v>-0.0264200792602378</v>
      </c>
      <c r="H8" s="11">
        <f>(E8+F8-C8)/C8</f>
        <v>-0.815332428765265</v>
      </c>
      <c r="I8" s="11"/>
      <c r="J8" s="11"/>
    </row>
    <row r="9" ht="20.05" customHeight="1">
      <c r="B9" s="29"/>
      <c r="C9" s="12">
        <v>889</v>
      </c>
      <c r="D9" s="20"/>
      <c r="E9" s="13">
        <v>25.5</v>
      </c>
      <c r="F9" s="13">
        <v>269</v>
      </c>
      <c r="G9" s="11">
        <f>C9/C8-1</f>
        <v>0.206241519674355</v>
      </c>
      <c r="H9" s="11">
        <f>(E9+F9-C9)/C9</f>
        <v>-0.668728908886389</v>
      </c>
      <c r="I9" s="11"/>
      <c r="J9" s="11"/>
    </row>
    <row r="10" ht="20.05" customHeight="1">
      <c r="B10" s="29"/>
      <c r="C10" s="12">
        <v>957</v>
      </c>
      <c r="D10" s="20"/>
      <c r="E10" s="13">
        <v>40.4</v>
      </c>
      <c r="F10" s="13">
        <v>47</v>
      </c>
      <c r="G10" s="11">
        <f>C10/C9-1</f>
        <v>0.0764904386951631</v>
      </c>
      <c r="H10" s="11">
        <f>(E10+F10-C10)/C10</f>
        <v>-0.908672936259143</v>
      </c>
      <c r="I10" s="11"/>
      <c r="J10" s="11"/>
    </row>
    <row r="11" ht="20.05" customHeight="1">
      <c r="B11" s="30">
        <v>2018</v>
      </c>
      <c r="C11" s="12">
        <v>888</v>
      </c>
      <c r="D11" s="20"/>
      <c r="E11" s="13">
        <v>23</v>
      </c>
      <c r="F11" s="13">
        <v>137</v>
      </c>
      <c r="G11" s="11">
        <f>C11/C10-1</f>
        <v>-0.0721003134796238</v>
      </c>
      <c r="H11" s="11">
        <f>(E11+F11-C11)/C11</f>
        <v>-0.81981981981982</v>
      </c>
      <c r="I11" s="11">
        <f>AVERAGE(H8:H11)</f>
        <v>-0.803138523432654</v>
      </c>
      <c r="J11" s="11"/>
    </row>
    <row r="12" ht="20.05" customHeight="1">
      <c r="B12" s="29"/>
      <c r="C12" s="12">
        <v>906</v>
      </c>
      <c r="D12" s="20"/>
      <c r="E12" s="13">
        <v>25.8</v>
      </c>
      <c r="F12" s="13">
        <v>118</v>
      </c>
      <c r="G12" s="11">
        <f>C12/C11-1</f>
        <v>0.0202702702702703</v>
      </c>
      <c r="H12" s="11">
        <f>(E12+F12-C12)/C12</f>
        <v>-0.841280353200883</v>
      </c>
      <c r="I12" s="11">
        <f>AVERAGE(H9:H12)</f>
        <v>-0.809625504541559</v>
      </c>
      <c r="J12" s="11"/>
    </row>
    <row r="13" ht="20.05" customHeight="1">
      <c r="B13" s="29"/>
      <c r="C13" s="12">
        <v>1059</v>
      </c>
      <c r="D13" s="20"/>
      <c r="E13" s="13">
        <v>28.9</v>
      </c>
      <c r="F13" s="13">
        <v>202</v>
      </c>
      <c r="G13" s="11">
        <f>C13/C12-1</f>
        <v>0.16887417218543</v>
      </c>
      <c r="H13" s="11">
        <f>(E13+F13-C13)/C13</f>
        <v>-0.781964117091596</v>
      </c>
      <c r="I13" s="11">
        <f>AVERAGE(H10:H13)</f>
        <v>-0.8379343065928609</v>
      </c>
      <c r="J13" s="11"/>
    </row>
    <row r="14" ht="20.05" customHeight="1">
      <c r="B14" s="29"/>
      <c r="C14" s="12">
        <v>1080</v>
      </c>
      <c r="D14" s="20"/>
      <c r="E14" s="13">
        <v>41.9</v>
      </c>
      <c r="F14" s="13">
        <v>177</v>
      </c>
      <c r="G14" s="11">
        <f>C14/C13-1</f>
        <v>0.0198300283286119</v>
      </c>
      <c r="H14" s="11">
        <f>(E14+F14-C14)/C14</f>
        <v>-0.797314814814815</v>
      </c>
      <c r="I14" s="11">
        <f>AVERAGE(H11:H14)</f>
        <v>-0.8100947762317789</v>
      </c>
      <c r="J14" s="11"/>
    </row>
    <row r="15" ht="20.05" customHeight="1">
      <c r="B15" s="30">
        <v>2019</v>
      </c>
      <c r="C15" s="12">
        <v>891</v>
      </c>
      <c r="D15" s="20"/>
      <c r="E15" s="13">
        <v>26.6</v>
      </c>
      <c r="F15" s="13">
        <v>137</v>
      </c>
      <c r="G15" s="11">
        <f>C15/C14-1</f>
        <v>-0.175</v>
      </c>
      <c r="H15" s="11">
        <f>(E15+F15-C15)/C15</f>
        <v>-0.81638608305275</v>
      </c>
      <c r="I15" s="11">
        <f>AVERAGE(H12:H15)</f>
        <v>-0.809236342040011</v>
      </c>
      <c r="J15" s="11"/>
    </row>
    <row r="16" ht="20.05" customHeight="1">
      <c r="B16" s="29"/>
      <c r="C16" s="12">
        <v>881</v>
      </c>
      <c r="D16" s="20"/>
      <c r="E16" s="13">
        <v>28.5</v>
      </c>
      <c r="F16" s="13">
        <v>121</v>
      </c>
      <c r="G16" s="11">
        <f>C16/C15-1</f>
        <v>-0.0112233445566779</v>
      </c>
      <c r="H16" s="11">
        <f>(E16+F16-C16)/C16</f>
        <v>-0.830306469920545</v>
      </c>
      <c r="I16" s="11">
        <f>AVERAGE(H13:H16)</f>
        <v>-0.806492871219927</v>
      </c>
      <c r="J16" s="11"/>
    </row>
    <row r="17" ht="20.05" customHeight="1">
      <c r="B17" s="29"/>
      <c r="C17" s="12">
        <v>1014</v>
      </c>
      <c r="D17" s="20"/>
      <c r="E17" s="13">
        <v>31.7</v>
      </c>
      <c r="F17" s="13">
        <v>192</v>
      </c>
      <c r="G17" s="11">
        <f>C17/C16-1</f>
        <v>0.150964812712826</v>
      </c>
      <c r="H17" s="11">
        <f>(E17+F17-C17)/C17</f>
        <v>-0.779388560157791</v>
      </c>
      <c r="I17" s="11">
        <f>AVERAGE(H14:H17)</f>
        <v>-0.805848981986475</v>
      </c>
      <c r="J17" s="11"/>
    </row>
    <row r="18" ht="20.05" customHeight="1">
      <c r="B18" s="29"/>
      <c r="C18" s="12">
        <v>1150</v>
      </c>
      <c r="D18" s="20"/>
      <c r="E18" s="13">
        <v>46.8</v>
      </c>
      <c r="F18" s="13">
        <v>189</v>
      </c>
      <c r="G18" s="11">
        <f>C18/C17-1</f>
        <v>0.134122287968442</v>
      </c>
      <c r="H18" s="11">
        <f>(E18+F18-C18)/C18</f>
        <v>-0.79495652173913</v>
      </c>
      <c r="I18" s="11">
        <f>AVERAGE(H15:H18)</f>
        <v>-0.805259408717554</v>
      </c>
      <c r="J18" s="11"/>
    </row>
    <row r="19" ht="20.05" customHeight="1">
      <c r="B19" s="30">
        <v>2020</v>
      </c>
      <c r="C19" s="12">
        <v>803</v>
      </c>
      <c r="D19" s="20"/>
      <c r="E19" s="13">
        <v>32.7</v>
      </c>
      <c r="F19" s="13">
        <v>133</v>
      </c>
      <c r="G19" s="11">
        <f>C19/C18-1</f>
        <v>-0.301739130434783</v>
      </c>
      <c r="H19" s="11">
        <f>(E19+F19-C19)/C19</f>
        <v>-0.793648816936488</v>
      </c>
      <c r="I19" s="11">
        <f>AVERAGE(H16:H19)</f>
        <v>-0.799575092188489</v>
      </c>
      <c r="J19" s="11"/>
    </row>
    <row r="20" ht="20.05" customHeight="1">
      <c r="B20" s="29"/>
      <c r="C20" s="12">
        <v>661</v>
      </c>
      <c r="D20" s="20"/>
      <c r="E20" s="13">
        <v>32.8</v>
      </c>
      <c r="F20" s="13">
        <v>92</v>
      </c>
      <c r="G20" s="11">
        <f>C20/C19-1</f>
        <v>-0.176836861768369</v>
      </c>
      <c r="H20" s="11">
        <f>(E20+F20-C20)/C20</f>
        <v>-0.811195158850227</v>
      </c>
      <c r="I20" s="11">
        <f>AVERAGE(H17:H20)</f>
        <v>-0.794797264420909</v>
      </c>
      <c r="J20" s="11"/>
    </row>
    <row r="21" ht="20.05" customHeight="1">
      <c r="B21" s="29"/>
      <c r="C21" s="12">
        <v>839</v>
      </c>
      <c r="D21" s="20"/>
      <c r="E21" s="13">
        <v>34.5</v>
      </c>
      <c r="F21" s="13">
        <v>165</v>
      </c>
      <c r="G21" s="11">
        <f>C21/C20-1</f>
        <v>0.26928895612708</v>
      </c>
      <c r="H21" s="11">
        <f>(E21+F21-C21)/C21</f>
        <v>-0.762216924910608</v>
      </c>
      <c r="I21" s="11">
        <f>AVERAGE(H18:H21)</f>
        <v>-0.790504355609113</v>
      </c>
      <c r="J21" s="11"/>
    </row>
    <row r="22" ht="20.05" customHeight="1">
      <c r="B22" s="29"/>
      <c r="C22" s="12">
        <v>931</v>
      </c>
      <c r="D22" s="20"/>
      <c r="E22" s="13">
        <v>49.9</v>
      </c>
      <c r="F22" s="13">
        <v>149</v>
      </c>
      <c r="G22" s="11">
        <f>C22/C21-1</f>
        <v>0.109654350417163</v>
      </c>
      <c r="H22" s="11">
        <f>(E22+F22-C22)/C22</f>
        <v>-0.786358754027927</v>
      </c>
      <c r="I22" s="11">
        <f>AVERAGE(H19:H22)</f>
        <v>-0.7883549136813131</v>
      </c>
      <c r="J22" s="11"/>
    </row>
    <row r="23" ht="20.05" customHeight="1">
      <c r="B23" s="30">
        <v>2021</v>
      </c>
      <c r="C23" s="12">
        <v>971</v>
      </c>
      <c r="D23" s="20"/>
      <c r="E23" s="13">
        <v>30.3</v>
      </c>
      <c r="F23" s="13">
        <v>180</v>
      </c>
      <c r="G23" s="11">
        <f>C23/C22-1</f>
        <v>0.0429645542427497</v>
      </c>
      <c r="H23" s="11">
        <f>(E23+F23-C23)/C23</f>
        <v>-0.783419155509784</v>
      </c>
      <c r="I23" s="11">
        <f>AVERAGE(H20:H23)</f>
        <v>-0.785797498324637</v>
      </c>
      <c r="J23" s="11"/>
    </row>
    <row r="24" ht="20.05" customHeight="1">
      <c r="B24" s="29"/>
      <c r="C24" s="12">
        <f>1970.3-C23</f>
        <v>999.3</v>
      </c>
      <c r="D24" s="13">
        <v>990.42</v>
      </c>
      <c r="E24" s="13">
        <f>50.4+10.9-E23</f>
        <v>31</v>
      </c>
      <c r="F24" s="13">
        <f>349.5-F23</f>
        <v>169.5</v>
      </c>
      <c r="G24" s="11">
        <f>C24/C23-1</f>
        <v>0.0291452111225541</v>
      </c>
      <c r="H24" s="11">
        <f>(E24+F24-C24)/C24</f>
        <v>-0.79935955168618</v>
      </c>
      <c r="I24" s="11">
        <f>AVERAGE(H21:H24)</f>
        <v>-0.782838596533625</v>
      </c>
      <c r="J24" s="11"/>
    </row>
    <row r="25" ht="20.05" customHeight="1">
      <c r="B25" s="29"/>
      <c r="C25" s="12">
        <f>3023-SUM(C23:C24)</f>
        <v>1052.7</v>
      </c>
      <c r="D25" s="13">
        <v>1019.286</v>
      </c>
      <c r="E25" s="13">
        <f>95.1-SUM(E23:E24)</f>
        <v>33.8</v>
      </c>
      <c r="F25" s="13">
        <f>540.8-SUM(F23:F24)</f>
        <v>191.3</v>
      </c>
      <c r="G25" s="11">
        <f>C25/C24-1</f>
        <v>0.053437406184329</v>
      </c>
      <c r="H25" s="11">
        <f>(E25+F25-C25)/C25</f>
        <v>-0.7861688990215639</v>
      </c>
      <c r="I25" s="11">
        <f>AVERAGE(H22:H25)</f>
        <v>-0.788826590061364</v>
      </c>
      <c r="J25" s="11"/>
    </row>
    <row r="26" ht="20.05" customHeight="1">
      <c r="B26" s="29"/>
      <c r="C26" s="12">
        <f>4162.9-SUM(C23:C25)</f>
        <v>1139.9</v>
      </c>
      <c r="D26" s="13">
        <v>1179.024</v>
      </c>
      <c r="E26" s="13">
        <f>139-SUM(E23:E25)</f>
        <v>43.9</v>
      </c>
      <c r="F26" s="13">
        <f>728.3-SUM(F23:F25)</f>
        <v>187.5</v>
      </c>
      <c r="G26" s="11">
        <f>C26/C25-1</f>
        <v>0.0828346157499763</v>
      </c>
      <c r="H26" s="11">
        <f>(E26+F26-C26)/C26</f>
        <v>-0.796999736819019</v>
      </c>
      <c r="I26" s="11">
        <f>AVERAGE(H23:H26)</f>
        <v>-0.791486835759137</v>
      </c>
      <c r="J26" s="11"/>
    </row>
    <row r="27" ht="20.05" customHeight="1">
      <c r="B27" s="30">
        <v>2022</v>
      </c>
      <c r="C27" s="12">
        <v>1179.8</v>
      </c>
      <c r="D27" s="13">
        <v>1105.703</v>
      </c>
      <c r="E27" s="13">
        <v>30.4</v>
      </c>
      <c r="F27" s="13">
        <v>209.9</v>
      </c>
      <c r="G27" s="11">
        <f>C27/C26-1</f>
        <v>0.0350030704447759</v>
      </c>
      <c r="H27" s="11">
        <f>(E27+F27-C27)/C27</f>
        <v>-0.796321410408544</v>
      </c>
      <c r="I27" s="11">
        <f>AVERAGE(H24:H27)</f>
        <v>-0.794712399483827</v>
      </c>
      <c r="J27" s="11">
        <v>-0.791486835759137</v>
      </c>
    </row>
    <row r="28" ht="20.05" customHeight="1">
      <c r="B28" s="29"/>
      <c r="C28" s="12"/>
      <c r="D28" s="13">
        <f>'Model'!C6</f>
        <v>1238.79</v>
      </c>
      <c r="E28" s="13"/>
      <c r="F28" s="13"/>
      <c r="G28" s="11"/>
      <c r="H28" s="20"/>
      <c r="I28" s="11"/>
      <c r="J28" s="11">
        <f>'Model'!C7</f>
        <v>-0.794712399483827</v>
      </c>
    </row>
    <row r="29" ht="20.05" customHeight="1">
      <c r="B29" s="29"/>
      <c r="C29" s="12"/>
      <c r="D29" s="13">
        <f>'Model'!D6</f>
        <v>1275.9537</v>
      </c>
      <c r="E29" s="13"/>
      <c r="F29" s="13"/>
      <c r="G29" s="11"/>
      <c r="H29" s="11"/>
      <c r="I29" s="11"/>
      <c r="J29" s="11"/>
    </row>
    <row r="30" ht="20.05" customHeight="1">
      <c r="B30" s="29"/>
      <c r="C30" s="12"/>
      <c r="D30" s="13">
        <f>'Model'!E6</f>
        <v>1314.232311</v>
      </c>
      <c r="E30" s="13">
        <f>SUM(C24:C27)</f>
        <v>4371.7</v>
      </c>
      <c r="F30" s="13">
        <f>SUM(D24:D27)</f>
        <v>4294.433</v>
      </c>
      <c r="G30" s="11"/>
      <c r="H30" s="11"/>
      <c r="I30" s="11"/>
      <c r="J30" s="11"/>
    </row>
    <row r="31" ht="20.05" customHeight="1">
      <c r="B31" s="30">
        <v>2023</v>
      </c>
      <c r="C31" s="12"/>
      <c r="D31" s="13">
        <f>'Model'!F6</f>
        <v>1301.08998789</v>
      </c>
      <c r="E31" s="13"/>
      <c r="F31" s="13"/>
      <c r="G31" s="11"/>
      <c r="H31" s="11"/>
      <c r="I31" s="11"/>
      <c r="J31" s="11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O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31" customWidth="1"/>
    <col min="2" max="2" width="9.5625" style="31" customWidth="1"/>
    <col min="3" max="15" width="10.3672" style="31" customWidth="1"/>
    <col min="16" max="16384" width="16.3516" style="31" customWidth="1"/>
  </cols>
  <sheetData>
    <row r="1" ht="13.8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6.75" customHeight="1">
      <c r="B3" t="s" s="24">
        <v>43</v>
      </c>
      <c r="C3" t="s" s="24">
        <v>46</v>
      </c>
      <c r="D3" t="s" s="24">
        <v>8</v>
      </c>
      <c r="E3" t="s" s="24">
        <v>47</v>
      </c>
      <c r="F3" t="s" s="24">
        <v>10</v>
      </c>
      <c r="G3" t="s" s="24">
        <v>48</v>
      </c>
      <c r="H3" t="s" s="24">
        <v>49</v>
      </c>
      <c r="I3" t="s" s="24">
        <v>50</v>
      </c>
      <c r="J3" t="s" s="24">
        <v>51</v>
      </c>
      <c r="K3" t="s" s="24">
        <v>3</v>
      </c>
      <c r="L3" t="s" s="24">
        <v>35</v>
      </c>
      <c r="M3" t="s" s="24">
        <v>30</v>
      </c>
      <c r="N3" t="s" s="24">
        <v>35</v>
      </c>
      <c r="O3" s="32"/>
    </row>
    <row r="4" ht="21.4" customHeight="1">
      <c r="B4" s="25">
        <v>2016</v>
      </c>
      <c r="C4" s="33">
        <v>738.3200000000001</v>
      </c>
      <c r="D4" s="34">
        <v>166.65</v>
      </c>
      <c r="E4" s="34">
        <v>-11.3</v>
      </c>
      <c r="F4" s="34"/>
      <c r="G4" s="34"/>
      <c r="H4" s="34"/>
      <c r="I4" s="34">
        <v>-62</v>
      </c>
      <c r="J4" s="35">
        <f>D4+E4</f>
        <v>155.35</v>
      </c>
      <c r="K4" s="35"/>
      <c r="L4" s="34"/>
      <c r="M4" s="34">
        <f>-I4</f>
        <v>62</v>
      </c>
      <c r="N4" s="34"/>
      <c r="O4" s="34">
        <v>1</v>
      </c>
    </row>
    <row r="5" ht="21.2" customHeight="1">
      <c r="B5" s="29"/>
      <c r="C5" s="16">
        <v>793.95</v>
      </c>
      <c r="D5" s="17">
        <v>134.21</v>
      </c>
      <c r="E5" s="17">
        <v>-35.6</v>
      </c>
      <c r="F5" s="17"/>
      <c r="G5" s="17"/>
      <c r="H5" s="17"/>
      <c r="I5" s="17">
        <v>-152.58</v>
      </c>
      <c r="J5" s="15">
        <f>D5+E5</f>
        <v>98.61</v>
      </c>
      <c r="K5" s="15"/>
      <c r="L5" s="17"/>
      <c r="M5" s="17">
        <f>-I5+M4</f>
        <v>214.58</v>
      </c>
      <c r="N5" s="17"/>
      <c r="O5" s="17">
        <f>1+O4</f>
        <v>2</v>
      </c>
    </row>
    <row r="6" ht="21.2" customHeight="1">
      <c r="B6" s="29"/>
      <c r="C6" s="16">
        <v>711.91</v>
      </c>
      <c r="D6" s="17">
        <v>160.14</v>
      </c>
      <c r="E6" s="17">
        <v>-20.8</v>
      </c>
      <c r="F6" s="17"/>
      <c r="G6" s="17"/>
      <c r="H6" s="17"/>
      <c r="I6" s="17">
        <v>-172.75</v>
      </c>
      <c r="J6" s="15">
        <f>D6+E6</f>
        <v>139.34</v>
      </c>
      <c r="K6" s="15"/>
      <c r="L6" s="17"/>
      <c r="M6" s="17">
        <f>-I6+M5</f>
        <v>387.33</v>
      </c>
      <c r="N6" s="17"/>
      <c r="O6" s="17">
        <f>1+O5</f>
        <v>3</v>
      </c>
    </row>
    <row r="7" ht="21.2" customHeight="1">
      <c r="B7" s="29"/>
      <c r="C7" s="16">
        <v>798.48</v>
      </c>
      <c r="D7" s="17">
        <v>121.8</v>
      </c>
      <c r="E7" s="17">
        <v>-60.05</v>
      </c>
      <c r="F7" s="17"/>
      <c r="G7" s="17"/>
      <c r="H7" s="17"/>
      <c r="I7" s="17">
        <v>-95.15000000000001</v>
      </c>
      <c r="J7" s="15">
        <f>D7+E7</f>
        <v>61.75</v>
      </c>
      <c r="K7" s="15"/>
      <c r="L7" s="17"/>
      <c r="M7" s="17">
        <f>-I7+M6</f>
        <v>482.48</v>
      </c>
      <c r="N7" s="17"/>
      <c r="O7" s="17">
        <f>1+O6</f>
        <v>4</v>
      </c>
    </row>
    <row r="8" ht="21.2" customHeight="1">
      <c r="B8" s="30">
        <v>2017</v>
      </c>
      <c r="C8" s="16">
        <v>895.25</v>
      </c>
      <c r="D8" s="17">
        <v>144.6</v>
      </c>
      <c r="E8" s="17">
        <v>-37</v>
      </c>
      <c r="F8" s="17"/>
      <c r="G8" s="17"/>
      <c r="H8" s="17"/>
      <c r="I8" s="17">
        <v>-56.45</v>
      </c>
      <c r="J8" s="15">
        <f>D8+E8</f>
        <v>107.6</v>
      </c>
      <c r="K8" s="15"/>
      <c r="L8" s="17"/>
      <c r="M8" s="17">
        <f>-I8+M7</f>
        <v>538.9299999999999</v>
      </c>
      <c r="N8" s="17"/>
      <c r="O8" s="17">
        <f>1+O7</f>
        <v>5</v>
      </c>
    </row>
    <row r="9" ht="21.2" customHeight="1">
      <c r="B9" s="29"/>
      <c r="C9" s="16">
        <v>847.27</v>
      </c>
      <c r="D9" s="17">
        <v>83.17</v>
      </c>
      <c r="E9" s="17">
        <v>-19</v>
      </c>
      <c r="F9" s="17"/>
      <c r="G9" s="17"/>
      <c r="H9" s="17"/>
      <c r="I9" s="17">
        <v>-96.95</v>
      </c>
      <c r="J9" s="15">
        <f>D9+E9</f>
        <v>64.17</v>
      </c>
      <c r="K9" s="15"/>
      <c r="L9" s="17"/>
      <c r="M9" s="17">
        <f>-I9+M8</f>
        <v>635.88</v>
      </c>
      <c r="N9" s="17"/>
      <c r="O9" s="17">
        <f>1+O8</f>
        <v>6</v>
      </c>
    </row>
    <row r="10" ht="21.2" customHeight="1">
      <c r="B10" s="29"/>
      <c r="C10" s="16">
        <v>900.59</v>
      </c>
      <c r="D10" s="17">
        <v>27.98</v>
      </c>
      <c r="E10" s="17">
        <v>17</v>
      </c>
      <c r="F10" s="17"/>
      <c r="G10" s="17"/>
      <c r="H10" s="17"/>
      <c r="I10" s="17">
        <v>-102.97</v>
      </c>
      <c r="J10" s="15">
        <f>D10+E10</f>
        <v>44.98</v>
      </c>
      <c r="K10" s="15"/>
      <c r="L10" s="17"/>
      <c r="M10" s="17">
        <f>-I10+M9</f>
        <v>738.85</v>
      </c>
      <c r="N10" s="17"/>
      <c r="O10" s="17">
        <f>1+O9</f>
        <v>7</v>
      </c>
    </row>
    <row r="11" ht="21.2" customHeight="1">
      <c r="B11" s="29"/>
      <c r="C11" s="16">
        <v>659.89</v>
      </c>
      <c r="D11" s="17">
        <v>190.25</v>
      </c>
      <c r="E11" s="17">
        <v>-62.78</v>
      </c>
      <c r="F11" s="17"/>
      <c r="G11" s="17"/>
      <c r="H11" s="17"/>
      <c r="I11" s="17">
        <v>-113.49</v>
      </c>
      <c r="J11" s="15">
        <f>D11+E11</f>
        <v>127.47</v>
      </c>
      <c r="K11" s="15"/>
      <c r="L11" s="17"/>
      <c r="M11" s="17">
        <f>-I11+M10</f>
        <v>852.34</v>
      </c>
      <c r="N11" s="17"/>
      <c r="O11" s="17">
        <f>1+O10</f>
        <v>8</v>
      </c>
    </row>
    <row r="12" ht="20.05" customHeight="1">
      <c r="B12" s="30">
        <v>2018</v>
      </c>
      <c r="C12" s="16">
        <v>968</v>
      </c>
      <c r="D12" s="17">
        <v>188.5</v>
      </c>
      <c r="E12" s="17">
        <v>-34.566</v>
      </c>
      <c r="F12" s="17"/>
      <c r="G12" s="17"/>
      <c r="H12" s="17"/>
      <c r="I12" s="17">
        <v>-1.2</v>
      </c>
      <c r="J12" s="15">
        <f>D12+E12</f>
        <v>153.934</v>
      </c>
      <c r="K12" s="15">
        <f>AVERAGE(J9:J12)</f>
        <v>97.63849999999999</v>
      </c>
      <c r="L12" s="17"/>
      <c r="M12" s="17">
        <f>-I12+M11</f>
        <v>853.54</v>
      </c>
      <c r="N12" s="17"/>
      <c r="O12" s="17">
        <f>1+O11</f>
        <v>9</v>
      </c>
    </row>
    <row r="13" ht="20.05" customHeight="1">
      <c r="B13" s="29"/>
      <c r="C13" s="16">
        <v>1031.6</v>
      </c>
      <c r="D13" s="17">
        <v>73.5</v>
      </c>
      <c r="E13" s="17">
        <v>-29.482</v>
      </c>
      <c r="F13" s="17"/>
      <c r="G13" s="17"/>
      <c r="H13" s="17"/>
      <c r="I13" s="17">
        <v>-168.36</v>
      </c>
      <c r="J13" s="15">
        <f>D13+E13</f>
        <v>44.018</v>
      </c>
      <c r="K13" s="15">
        <f>AVERAGE(J10:J13)</f>
        <v>92.6005</v>
      </c>
      <c r="L13" s="17"/>
      <c r="M13" s="17">
        <f>-I13+M12</f>
        <v>1021.9</v>
      </c>
      <c r="N13" s="17"/>
      <c r="O13" s="17">
        <f>1+O12</f>
        <v>10</v>
      </c>
    </row>
    <row r="14" ht="20.05" customHeight="1">
      <c r="B14" s="29"/>
      <c r="C14" s="16">
        <v>992.7</v>
      </c>
      <c r="D14" s="17">
        <v>216.69</v>
      </c>
      <c r="E14" s="17">
        <v>-27.912</v>
      </c>
      <c r="F14" s="17"/>
      <c r="G14" s="17"/>
      <c r="H14" s="17"/>
      <c r="I14" s="17">
        <v>-123.73</v>
      </c>
      <c r="J14" s="15">
        <f>D14+E14</f>
        <v>188.778</v>
      </c>
      <c r="K14" s="15">
        <f>AVERAGE(J11:J14)</f>
        <v>128.55</v>
      </c>
      <c r="L14" s="17"/>
      <c r="M14" s="17">
        <f>-I14+M13</f>
        <v>1145.63</v>
      </c>
      <c r="N14" s="17"/>
      <c r="O14" s="17">
        <f>1+O13</f>
        <v>11</v>
      </c>
    </row>
    <row r="15" ht="20.05" customHeight="1">
      <c r="B15" s="29"/>
      <c r="C15" s="16">
        <v>1243.2</v>
      </c>
      <c r="D15" s="17">
        <v>199.17</v>
      </c>
      <c r="E15" s="17">
        <v>-19.59</v>
      </c>
      <c r="F15" s="17"/>
      <c r="G15" s="17"/>
      <c r="H15" s="17"/>
      <c r="I15" s="17">
        <v>-89.81999999999999</v>
      </c>
      <c r="J15" s="15">
        <f>D15+E15</f>
        <v>179.58</v>
      </c>
      <c r="K15" s="15">
        <f>AVERAGE(J12:J15)</f>
        <v>141.5775</v>
      </c>
      <c r="L15" s="17"/>
      <c r="M15" s="17">
        <f>-I15+M14</f>
        <v>1235.45</v>
      </c>
      <c r="N15" s="17"/>
      <c r="O15" s="17">
        <f>1+O14</f>
        <v>12</v>
      </c>
    </row>
    <row r="16" ht="21.2" customHeight="1">
      <c r="B16" s="30">
        <v>2019</v>
      </c>
      <c r="C16" s="16">
        <v>968</v>
      </c>
      <c r="D16" s="17">
        <v>188.5</v>
      </c>
      <c r="E16" s="17">
        <v>-34.566</v>
      </c>
      <c r="F16" s="17"/>
      <c r="G16" s="17"/>
      <c r="H16" s="17"/>
      <c r="I16" s="17">
        <v>-1.2</v>
      </c>
      <c r="J16" s="15">
        <f>D16+E16</f>
        <v>153.934</v>
      </c>
      <c r="K16" s="15">
        <f>AVERAGE(J13:J16)</f>
        <v>141.5775</v>
      </c>
      <c r="L16" s="17"/>
      <c r="M16" s="17">
        <f>-I16+M11</f>
        <v>853.54</v>
      </c>
      <c r="N16" s="17"/>
      <c r="O16" s="17">
        <f>1+O15</f>
        <v>13</v>
      </c>
    </row>
    <row r="17" ht="21.2" customHeight="1">
      <c r="B17" s="29"/>
      <c r="C17" s="16">
        <v>1031.6</v>
      </c>
      <c r="D17" s="17">
        <v>73.5</v>
      </c>
      <c r="E17" s="17">
        <v>-29.482</v>
      </c>
      <c r="F17" s="17"/>
      <c r="G17" s="17"/>
      <c r="H17" s="17"/>
      <c r="I17" s="17">
        <v>-168.36</v>
      </c>
      <c r="J17" s="15">
        <f>D17+E17</f>
        <v>44.018</v>
      </c>
      <c r="K17" s="15">
        <f>AVERAGE(J14:J17)</f>
        <v>141.5775</v>
      </c>
      <c r="L17" s="17"/>
      <c r="M17" s="17">
        <f>-I17+M16</f>
        <v>1021.9</v>
      </c>
      <c r="N17" s="17"/>
      <c r="O17" s="17">
        <f>1+O16</f>
        <v>14</v>
      </c>
    </row>
    <row r="18" ht="21.2" customHeight="1">
      <c r="B18" s="29"/>
      <c r="C18" s="16">
        <v>992.7</v>
      </c>
      <c r="D18" s="17">
        <v>216.69</v>
      </c>
      <c r="E18" s="17">
        <v>-27.912</v>
      </c>
      <c r="F18" s="17"/>
      <c r="G18" s="17"/>
      <c r="H18" s="17"/>
      <c r="I18" s="17">
        <v>-123.73</v>
      </c>
      <c r="J18" s="15">
        <f>D18+E18</f>
        <v>188.778</v>
      </c>
      <c r="K18" s="15">
        <f>AVERAGE(J15:J18)</f>
        <v>141.5775</v>
      </c>
      <c r="L18" s="17"/>
      <c r="M18" s="17">
        <f>-I18+M17</f>
        <v>1145.63</v>
      </c>
      <c r="N18" s="17"/>
      <c r="O18" s="17">
        <f>1+O17</f>
        <v>15</v>
      </c>
    </row>
    <row r="19" ht="21.2" customHeight="1">
      <c r="B19" s="29"/>
      <c r="C19" s="16">
        <v>1243.2</v>
      </c>
      <c r="D19" s="17">
        <v>199.17</v>
      </c>
      <c r="E19" s="17">
        <v>-19.59</v>
      </c>
      <c r="F19" s="17"/>
      <c r="G19" s="17"/>
      <c r="H19" s="17"/>
      <c r="I19" s="17">
        <v>-89.81999999999999</v>
      </c>
      <c r="J19" s="15">
        <f>D19+E19</f>
        <v>179.58</v>
      </c>
      <c r="K19" s="15">
        <f>AVERAGE(J16:J19)</f>
        <v>141.5775</v>
      </c>
      <c r="L19" s="17"/>
      <c r="M19" s="17">
        <f>-I19+M18</f>
        <v>1235.45</v>
      </c>
      <c r="N19" s="17"/>
      <c r="O19" s="17">
        <f>1+O18</f>
        <v>16</v>
      </c>
    </row>
    <row r="20" ht="21.2" customHeight="1">
      <c r="B20" s="30">
        <v>2020</v>
      </c>
      <c r="C20" s="16">
        <v>930.6799999999999</v>
      </c>
      <c r="D20" s="17">
        <v>204.5</v>
      </c>
      <c r="E20" s="17">
        <v>-28.89</v>
      </c>
      <c r="F20" s="17"/>
      <c r="G20" s="17"/>
      <c r="H20" s="17"/>
      <c r="I20" s="17">
        <v>0.9</v>
      </c>
      <c r="J20" s="15">
        <f>D20+E20</f>
        <v>175.61</v>
      </c>
      <c r="K20" s="15">
        <f>AVERAGE(J17:J20)</f>
        <v>146.9965</v>
      </c>
      <c r="L20" s="17"/>
      <c r="M20" s="17">
        <f>-I20+M19</f>
        <v>1234.55</v>
      </c>
      <c r="N20" s="17"/>
      <c r="O20" s="17">
        <f>1+O19</f>
        <v>17</v>
      </c>
    </row>
    <row r="21" ht="21.2" customHeight="1">
      <c r="B21" s="29"/>
      <c r="C21" s="16">
        <v>1015.9</v>
      </c>
      <c r="D21" s="17">
        <v>134.24</v>
      </c>
      <c r="E21" s="17">
        <v>-19.91</v>
      </c>
      <c r="F21" s="17"/>
      <c r="G21" s="17"/>
      <c r="H21" s="17"/>
      <c r="I21" s="17">
        <v>5.8</v>
      </c>
      <c r="J21" s="15">
        <f>D21+E21</f>
        <v>114.33</v>
      </c>
      <c r="K21" s="15">
        <f>AVERAGE(J18:J21)</f>
        <v>164.5745</v>
      </c>
      <c r="L21" s="17"/>
      <c r="M21" s="17">
        <f>-I21+M20</f>
        <v>1228.75</v>
      </c>
      <c r="N21" s="17"/>
      <c r="O21" s="17">
        <f>1+O20</f>
        <v>18</v>
      </c>
    </row>
    <row r="22" ht="21.2" customHeight="1">
      <c r="B22" s="29"/>
      <c r="C22" s="16">
        <v>869.42</v>
      </c>
      <c r="D22" s="17">
        <v>265.26</v>
      </c>
      <c r="E22" s="17">
        <v>-20.5</v>
      </c>
      <c r="F22" s="17"/>
      <c r="G22" s="17"/>
      <c r="H22" s="17"/>
      <c r="I22" s="17">
        <v>-273.7</v>
      </c>
      <c r="J22" s="15">
        <f>D22+E22</f>
        <v>244.76</v>
      </c>
      <c r="K22" s="15">
        <f>AVERAGE(J19:J22)</f>
        <v>178.57</v>
      </c>
      <c r="L22" s="17"/>
      <c r="M22" s="17">
        <f>-I22+M21</f>
        <v>1502.45</v>
      </c>
      <c r="N22" s="17"/>
      <c r="O22" s="17">
        <f>1+O21</f>
        <v>19</v>
      </c>
    </row>
    <row r="23" ht="21.2" customHeight="1">
      <c r="B23" s="29"/>
      <c r="C23" s="16">
        <v>963</v>
      </c>
      <c r="D23" s="17">
        <v>340.36</v>
      </c>
      <c r="E23" s="17">
        <v>-7.88</v>
      </c>
      <c r="F23" s="17"/>
      <c r="G23" s="17"/>
      <c r="H23" s="17"/>
      <c r="I23" s="17">
        <v>-163.5</v>
      </c>
      <c r="J23" s="15">
        <f>D23+E23</f>
        <v>332.48</v>
      </c>
      <c r="K23" s="15">
        <f>AVERAGE(J20:J23)</f>
        <v>216.795</v>
      </c>
      <c r="L23" s="17"/>
      <c r="M23" s="17">
        <f>-I23+M22</f>
        <v>1665.95</v>
      </c>
      <c r="N23" s="17"/>
      <c r="O23" s="17">
        <f>1+O22</f>
        <v>20</v>
      </c>
    </row>
    <row r="24" ht="21.2" customHeight="1">
      <c r="B24" s="30">
        <v>2021</v>
      </c>
      <c r="C24" s="16">
        <v>971.8</v>
      </c>
      <c r="D24" s="17">
        <v>216.5</v>
      </c>
      <c r="E24" s="17">
        <v>-24.5</v>
      </c>
      <c r="F24" s="17">
        <v>-6</v>
      </c>
      <c r="G24" s="17">
        <f>I24-F24-H24</f>
        <v>49.3</v>
      </c>
      <c r="H24" s="17">
        <f>-3.3</f>
        <v>-3.3</v>
      </c>
      <c r="I24" s="17">
        <v>40</v>
      </c>
      <c r="J24" s="15">
        <f>D24+E24+F24</f>
        <v>186</v>
      </c>
      <c r="K24" s="15">
        <f>AVERAGE(J21:J24)</f>
        <v>219.3925</v>
      </c>
      <c r="L24" s="17"/>
      <c r="M24" s="17">
        <f>-(I24-F24)+M23</f>
        <v>1619.95</v>
      </c>
      <c r="N24" s="17"/>
      <c r="O24" s="17">
        <f>1+O23</f>
        <v>21</v>
      </c>
    </row>
    <row r="25" ht="21.2" customHeight="1">
      <c r="B25" s="29"/>
      <c r="C25" s="16">
        <f>2087.7-C24</f>
        <v>1115.9</v>
      </c>
      <c r="D25" s="17">
        <f>425.5-D24</f>
        <v>209</v>
      </c>
      <c r="E25" s="17">
        <f>-98.1-E24</f>
        <v>-73.59999999999999</v>
      </c>
      <c r="F25" s="17">
        <v>-6</v>
      </c>
      <c r="G25" s="17">
        <f>I25-F25-H25</f>
        <v>41.5</v>
      </c>
      <c r="H25" s="17">
        <f>-172.8-20.7-H24</f>
        <v>-190.2</v>
      </c>
      <c r="I25" s="17">
        <f>-114.7-I24</f>
        <v>-154.7</v>
      </c>
      <c r="J25" s="15">
        <f>D25+E25+F25</f>
        <v>129.4</v>
      </c>
      <c r="K25" s="15">
        <f>AVERAGE(J22:J25)</f>
        <v>223.16</v>
      </c>
      <c r="L25" s="17"/>
      <c r="M25" s="17">
        <f>-(I25-F25)+M24</f>
        <v>1768.65</v>
      </c>
      <c r="N25" s="17"/>
      <c r="O25" s="17">
        <f>1+O24</f>
        <v>22</v>
      </c>
    </row>
    <row r="26" ht="21.2" customHeight="1">
      <c r="B26" s="29"/>
      <c r="C26" s="16">
        <f>3228.3-SUM(C24:C25)</f>
        <v>1140.6</v>
      </c>
      <c r="D26" s="17">
        <f>359.3-SUM(D24:D25)</f>
        <v>-66.2</v>
      </c>
      <c r="E26" s="17">
        <f>-125.6-SUM(E24:E25)</f>
        <v>-27.5</v>
      </c>
      <c r="F26" s="17">
        <f>-105.2-SUM(F24:F25)</f>
        <v>-93.2</v>
      </c>
      <c r="G26" s="17">
        <f>I26-F26-H26</f>
        <v>87.40000000000001</v>
      </c>
      <c r="H26" s="17">
        <f>-287.9-31.5-SUM(H24:H25)</f>
        <v>-125.9</v>
      </c>
      <c r="I26" s="17">
        <f>-246.4-SUM(I24:I25)</f>
        <v>-131.7</v>
      </c>
      <c r="J26" s="15">
        <f>D26+E26+F26</f>
        <v>-186.9</v>
      </c>
      <c r="K26" s="15">
        <f>AVERAGE(J23:J26)</f>
        <v>115.245</v>
      </c>
      <c r="L26" s="17"/>
      <c r="M26" s="17">
        <f>-(I26-F26)+M25</f>
        <v>1807.15</v>
      </c>
      <c r="N26" s="17"/>
      <c r="O26" s="17">
        <f>1+O25</f>
        <v>23</v>
      </c>
    </row>
    <row r="27" ht="21.2" customHeight="1">
      <c r="B27" s="29"/>
      <c r="C27" s="16">
        <f>4048.8-SUM(C24:C26)</f>
        <v>820.5</v>
      </c>
      <c r="D27" s="17">
        <f>489.4-SUM(D24:D26)</f>
        <v>130.1</v>
      </c>
      <c r="E27" s="17">
        <f>-157-SUM(E24:E26)</f>
        <v>-31.4</v>
      </c>
      <c r="F27" s="17">
        <f>-34.8-SUM(F24:F26)</f>
        <v>70.40000000000001</v>
      </c>
      <c r="G27" s="17">
        <f>I27-F27-H27</f>
        <v>-54.4</v>
      </c>
      <c r="H27" s="17">
        <f>-403.1-43.5-SUM(H24:H26)</f>
        <v>-127.2</v>
      </c>
      <c r="I27" s="17">
        <f>-357.6-SUM(I24:I26)</f>
        <v>-111.2</v>
      </c>
      <c r="J27" s="15">
        <f>D27+E27+F27</f>
        <v>169.1</v>
      </c>
      <c r="K27" s="15">
        <f>AVERAGE(J24:J27)</f>
        <v>74.40000000000001</v>
      </c>
      <c r="L27" s="17"/>
      <c r="M27" s="17">
        <f>-(I27-F27)+M26</f>
        <v>1988.75</v>
      </c>
      <c r="N27" s="17"/>
      <c r="O27" s="17">
        <f>1+O26</f>
        <v>24</v>
      </c>
    </row>
    <row r="28" ht="21.2" customHeight="1">
      <c r="B28" s="30">
        <v>2022</v>
      </c>
      <c r="C28" s="16">
        <v>1108.8</v>
      </c>
      <c r="D28" s="17">
        <v>328.7</v>
      </c>
      <c r="E28" s="17">
        <v>-48.4</v>
      </c>
      <c r="F28" s="17">
        <v>-7.6</v>
      </c>
      <c r="G28" s="17">
        <f>I28-H28-F28</f>
        <v>-48.1</v>
      </c>
      <c r="H28" s="17">
        <v>-3.8</v>
      </c>
      <c r="I28" s="17">
        <v>-59.5</v>
      </c>
      <c r="J28" s="15">
        <f>D28+E28+F28</f>
        <v>272.7</v>
      </c>
      <c r="K28" s="15">
        <f>AVERAGE(J25:J28)</f>
        <v>96.075</v>
      </c>
      <c r="L28" s="17">
        <v>242.528354933770</v>
      </c>
      <c r="M28" s="17">
        <f>-(I28-F28)+M27</f>
        <v>2040.65</v>
      </c>
      <c r="N28" s="17">
        <v>2733.326592943870</v>
      </c>
      <c r="O28" s="17">
        <f>1+O27</f>
        <v>25</v>
      </c>
    </row>
    <row r="29" ht="21.2" customHeight="1">
      <c r="B29" s="29"/>
      <c r="C29" s="16"/>
      <c r="D29" s="17"/>
      <c r="E29" s="17"/>
      <c r="F29" s="17"/>
      <c r="G29" s="17"/>
      <c r="H29" s="17"/>
      <c r="I29" s="17"/>
      <c r="J29" s="15"/>
      <c r="K29" s="20"/>
      <c r="L29" s="15">
        <f>SUM('Model'!F9:F10)</f>
        <v>231.330975002883</v>
      </c>
      <c r="M29" s="20"/>
      <c r="N29" s="17">
        <f>'Model'!F34</f>
        <v>2843.925638831210</v>
      </c>
      <c r="O29" s="17"/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6" customWidth="1"/>
    <col min="2" max="11" width="9.21875" style="36" customWidth="1"/>
    <col min="12" max="16384" width="16.3516" style="36" customWidth="1"/>
  </cols>
  <sheetData>
    <row r="1" ht="7.55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4">
        <v>43</v>
      </c>
      <c r="C3" t="s" s="24">
        <v>52</v>
      </c>
      <c r="D3" t="s" s="24">
        <v>53</v>
      </c>
      <c r="E3" t="s" s="24">
        <v>24</v>
      </c>
      <c r="F3" t="s" s="24">
        <v>25</v>
      </c>
      <c r="G3" t="s" s="24">
        <v>12</v>
      </c>
      <c r="H3" t="s" s="24">
        <v>15</v>
      </c>
      <c r="I3" t="s" s="24">
        <v>54</v>
      </c>
      <c r="J3" t="s" s="24">
        <v>55</v>
      </c>
      <c r="K3" t="s" s="24">
        <v>35</v>
      </c>
    </row>
    <row r="4" ht="20.25" customHeight="1">
      <c r="B4" s="25">
        <v>2016</v>
      </c>
      <c r="C4" s="33">
        <v>212.73</v>
      </c>
      <c r="D4" s="34">
        <v>2209.47</v>
      </c>
      <c r="E4" s="34">
        <f>D4-C4</f>
        <v>1996.74</v>
      </c>
      <c r="F4" s="34">
        <v>1321</v>
      </c>
      <c r="G4" s="34">
        <v>662.83</v>
      </c>
      <c r="H4" s="34">
        <v>1546.64</v>
      </c>
      <c r="I4" s="34">
        <f>G4+H4-C4-E4</f>
        <v>0</v>
      </c>
      <c r="J4" s="34">
        <f>C4-G4</f>
        <v>-450.1</v>
      </c>
      <c r="K4" s="34"/>
    </row>
    <row r="5" ht="20.05" customHeight="1">
      <c r="B5" s="29"/>
      <c r="C5" s="16">
        <v>157.13</v>
      </c>
      <c r="D5" s="17">
        <v>2132.7</v>
      </c>
      <c r="E5" s="17">
        <f>D5-C5</f>
        <v>1975.57</v>
      </c>
      <c r="F5" s="17">
        <v>1340</v>
      </c>
      <c r="G5" s="17">
        <v>615.27</v>
      </c>
      <c r="H5" s="17">
        <v>1517.45</v>
      </c>
      <c r="I5" s="17">
        <f>G5+H5-C5-E5</f>
        <v>0.02</v>
      </c>
      <c r="J5" s="17">
        <f>C5-G5</f>
        <v>-458.14</v>
      </c>
      <c r="K5" s="17"/>
    </row>
    <row r="6" ht="20.05" customHeight="1">
      <c r="B6" s="29"/>
      <c r="C6" s="16">
        <v>123.89</v>
      </c>
      <c r="D6" s="17">
        <v>2148.86</v>
      </c>
      <c r="E6" s="17">
        <f>D6-C6</f>
        <v>2024.97</v>
      </c>
      <c r="F6" s="17">
        <v>1356</v>
      </c>
      <c r="G6" s="17">
        <v>590.88</v>
      </c>
      <c r="H6" s="17">
        <v>1557.98</v>
      </c>
      <c r="I6" s="17">
        <f>G6+H6-C6-E6</f>
        <v>0</v>
      </c>
      <c r="J6" s="17">
        <f>C6-G6</f>
        <v>-466.99</v>
      </c>
      <c r="K6" s="17"/>
    </row>
    <row r="7" ht="20.05" customHeight="1">
      <c r="B7" s="29"/>
      <c r="C7" s="16">
        <v>96.5</v>
      </c>
      <c r="D7" s="17">
        <v>2254.7</v>
      </c>
      <c r="E7" s="17">
        <f>D7-C7</f>
        <v>2158.2</v>
      </c>
      <c r="F7" s="17">
        <v>1384</v>
      </c>
      <c r="G7" s="17">
        <v>674.6799999999999</v>
      </c>
      <c r="H7" s="17">
        <v>1580.05</v>
      </c>
      <c r="I7" s="17">
        <f>G7+H7-C7-E7</f>
        <v>0.03</v>
      </c>
      <c r="J7" s="17">
        <f>C7-G7</f>
        <v>-578.1799999999999</v>
      </c>
      <c r="K7" s="17"/>
    </row>
    <row r="8" ht="20.05" customHeight="1">
      <c r="B8" s="30">
        <v>2017</v>
      </c>
      <c r="C8" s="16">
        <v>149.9</v>
      </c>
      <c r="D8" s="17">
        <v>2285.6</v>
      </c>
      <c r="E8" s="17">
        <f>D8-C8</f>
        <v>2135.7</v>
      </c>
      <c r="F8" s="17">
        <v>1404</v>
      </c>
      <c r="G8" s="17">
        <v>576.15</v>
      </c>
      <c r="H8" s="17">
        <v>1709.46</v>
      </c>
      <c r="I8" s="17">
        <f>G8+H8-C8-E8</f>
        <v>0.01</v>
      </c>
      <c r="J8" s="17">
        <f>C8-G8</f>
        <v>-426.25</v>
      </c>
      <c r="K8" s="17"/>
    </row>
    <row r="9" ht="20.05" customHeight="1">
      <c r="B9" s="29"/>
      <c r="C9" s="16">
        <v>123.18</v>
      </c>
      <c r="D9" s="17">
        <v>2331.27</v>
      </c>
      <c r="E9" s="17">
        <f>D9-C9</f>
        <v>2208.09</v>
      </c>
      <c r="F9" s="17">
        <v>1429</v>
      </c>
      <c r="G9" s="17">
        <v>634</v>
      </c>
      <c r="H9" s="17">
        <v>1697.27</v>
      </c>
      <c r="I9" s="17">
        <f>G9+H9-C9-E9</f>
        <v>0</v>
      </c>
      <c r="J9" s="17">
        <f>C9-G9</f>
        <v>-510.82</v>
      </c>
      <c r="K9" s="17"/>
    </row>
    <row r="10" ht="20.05" customHeight="1">
      <c r="B10" s="29"/>
      <c r="C10" s="16">
        <v>67.75</v>
      </c>
      <c r="D10" s="17">
        <v>2378.26</v>
      </c>
      <c r="E10" s="17">
        <f>D10-C10</f>
        <v>2310.51</v>
      </c>
      <c r="F10" s="17">
        <v>1456</v>
      </c>
      <c r="G10" s="17">
        <v>613.88</v>
      </c>
      <c r="H10" s="17">
        <v>1764.38</v>
      </c>
      <c r="I10" s="17">
        <f>G10+H10-C10-E10</f>
        <v>0</v>
      </c>
      <c r="J10" s="17">
        <f>C10-G10</f>
        <v>-546.13</v>
      </c>
      <c r="K10" s="17"/>
    </row>
    <row r="11" ht="20.05" customHeight="1">
      <c r="B11" s="29"/>
      <c r="C11" s="16">
        <v>71</v>
      </c>
      <c r="D11" s="17">
        <v>2443.34</v>
      </c>
      <c r="E11" s="17">
        <f>D11-C11</f>
        <v>2372.34</v>
      </c>
      <c r="F11" s="17">
        <v>1608</v>
      </c>
      <c r="G11" s="17">
        <v>615.15</v>
      </c>
      <c r="H11" s="17">
        <v>1828.18</v>
      </c>
      <c r="I11" s="17">
        <f>G11+H11-C11-E11</f>
        <v>-0.01</v>
      </c>
      <c r="J11" s="17">
        <f>C11-G11</f>
        <v>-544.15</v>
      </c>
      <c r="K11" s="17"/>
    </row>
    <row r="12" ht="20.05" customHeight="1">
      <c r="B12" s="30">
        <v>2018</v>
      </c>
      <c r="C12" s="16">
        <v>175.59</v>
      </c>
      <c r="D12" s="17">
        <v>2655.7</v>
      </c>
      <c r="E12" s="17">
        <f>D12-C12</f>
        <v>2480.11</v>
      </c>
      <c r="F12" s="17">
        <v>1524</v>
      </c>
      <c r="G12" s="17">
        <v>680.83</v>
      </c>
      <c r="H12" s="17">
        <v>1974.88</v>
      </c>
      <c r="I12" s="17">
        <f>G12+H12-C12-E12</f>
        <v>0.01</v>
      </c>
      <c r="J12" s="17">
        <f>C12-G12</f>
        <v>-505.24</v>
      </c>
      <c r="K12" s="17"/>
    </row>
    <row r="13" ht="20.05" customHeight="1">
      <c r="B13" s="29"/>
      <c r="C13" s="16">
        <v>75.36</v>
      </c>
      <c r="D13" s="17">
        <v>2713.7</v>
      </c>
      <c r="E13" s="17">
        <f>D13-C13</f>
        <v>2638.34</v>
      </c>
      <c r="F13" s="17">
        <v>1545</v>
      </c>
      <c r="G13" s="17">
        <v>756.36</v>
      </c>
      <c r="H13" s="17">
        <v>1957.4</v>
      </c>
      <c r="I13" s="17">
        <f>G13+H13-C13-E13</f>
        <v>0.06</v>
      </c>
      <c r="J13" s="17">
        <f>C13-G13</f>
        <v>-681</v>
      </c>
      <c r="K13" s="17"/>
    </row>
    <row r="14" ht="20.05" customHeight="1">
      <c r="B14" s="29"/>
      <c r="C14" s="16">
        <v>79.22</v>
      </c>
      <c r="D14" s="17">
        <v>2793.5</v>
      </c>
      <c r="E14" s="17">
        <f>D14-C14</f>
        <v>2714.28</v>
      </c>
      <c r="F14" s="17">
        <v>1573</v>
      </c>
      <c r="G14" s="17">
        <v>729.9</v>
      </c>
      <c r="H14" s="17">
        <v>2063.59</v>
      </c>
      <c r="I14" s="17">
        <f>G14+H14-C14-E14</f>
        <v>-0.01</v>
      </c>
      <c r="J14" s="17">
        <f>C14-G14</f>
        <v>-650.6799999999999</v>
      </c>
      <c r="K14" s="17"/>
    </row>
    <row r="15" ht="20.05" customHeight="1">
      <c r="B15" s="29"/>
      <c r="C15" s="16">
        <v>66.8</v>
      </c>
      <c r="D15" s="17">
        <v>2801.2</v>
      </c>
      <c r="E15" s="17">
        <f>D15-C15</f>
        <v>2734.4</v>
      </c>
      <c r="F15" s="17">
        <v>1737</v>
      </c>
      <c r="G15" s="17">
        <v>650.9</v>
      </c>
      <c r="H15" s="17">
        <v>2150.2</v>
      </c>
      <c r="I15" s="17">
        <f>G15+H15-C15-E15</f>
        <v>-0.1</v>
      </c>
      <c r="J15" s="17">
        <f>C15-G15</f>
        <v>-584.1</v>
      </c>
      <c r="K15" s="17"/>
    </row>
    <row r="16" ht="20.05" customHeight="1">
      <c r="B16" s="30">
        <v>2019</v>
      </c>
      <c r="C16" s="16">
        <v>225.49</v>
      </c>
      <c r="D16" s="17">
        <v>2972.85</v>
      </c>
      <c r="E16" s="17">
        <f>D16-C16</f>
        <v>2747.36</v>
      </c>
      <c r="F16" s="17">
        <v>1634</v>
      </c>
      <c r="G16" s="17">
        <v>683.5599999999999</v>
      </c>
      <c r="H16" s="17">
        <v>2289.29</v>
      </c>
      <c r="I16" s="17">
        <f>G16+H16-C16-E16</f>
        <v>0</v>
      </c>
      <c r="J16" s="17">
        <f>C16-G16</f>
        <v>-458.07</v>
      </c>
      <c r="K16" s="17"/>
    </row>
    <row r="17" ht="20.05" customHeight="1">
      <c r="B17" s="29"/>
      <c r="C17" s="16">
        <v>104</v>
      </c>
      <c r="D17" s="17">
        <v>2798.5</v>
      </c>
      <c r="E17" s="17">
        <f>D17-C17</f>
        <v>2694.5</v>
      </c>
      <c r="F17" s="17">
        <v>1650</v>
      </c>
      <c r="G17" s="17">
        <v>573.7</v>
      </c>
      <c r="H17" s="17">
        <v>2224.8</v>
      </c>
      <c r="I17" s="17">
        <f>G17+H17-C17-E17</f>
        <v>0</v>
      </c>
      <c r="J17" s="17">
        <f>C17-G17</f>
        <v>-469.7</v>
      </c>
      <c r="K17" s="17"/>
    </row>
    <row r="18" ht="20.05" customHeight="1">
      <c r="B18" s="29"/>
      <c r="C18" s="16">
        <v>172.6</v>
      </c>
      <c r="D18" s="17">
        <v>2978.29</v>
      </c>
      <c r="E18" s="17">
        <f>D18-C18</f>
        <v>2805.69</v>
      </c>
      <c r="F18" s="17">
        <v>1687</v>
      </c>
      <c r="G18" s="17">
        <v>618</v>
      </c>
      <c r="H18" s="17">
        <v>2360.24</v>
      </c>
      <c r="I18" s="17">
        <f>G18+H18-C18-E18</f>
        <v>-0.05</v>
      </c>
      <c r="J18" s="17">
        <f>C18-G18</f>
        <v>-445.4</v>
      </c>
      <c r="K18" s="17"/>
    </row>
    <row r="19" ht="20.05" customHeight="1">
      <c r="B19" s="29"/>
      <c r="C19" s="16">
        <v>244</v>
      </c>
      <c r="D19" s="17">
        <v>3106.9</v>
      </c>
      <c r="E19" s="17">
        <f>D19-C19</f>
        <v>2862.9</v>
      </c>
      <c r="F19" s="17">
        <f>1861</f>
        <v>1861</v>
      </c>
      <c r="G19" s="17">
        <v>664.6</v>
      </c>
      <c r="H19" s="17">
        <v>2442.3</v>
      </c>
      <c r="I19" s="17">
        <f>G19+H19-C19-E19</f>
        <v>0</v>
      </c>
      <c r="J19" s="17">
        <f>C19-G19</f>
        <v>-420.6</v>
      </c>
      <c r="K19" s="17"/>
    </row>
    <row r="20" ht="20.05" customHeight="1">
      <c r="B20" s="30">
        <v>2020</v>
      </c>
      <c r="C20" s="16">
        <v>458</v>
      </c>
      <c r="D20" s="17">
        <v>3499.8</v>
      </c>
      <c r="E20" s="17">
        <f>D20-C20</f>
        <v>3041.8</v>
      </c>
      <c r="F20" s="17">
        <v>1909</v>
      </c>
      <c r="G20" s="17">
        <v>897.7</v>
      </c>
      <c r="H20" s="17">
        <v>2602</v>
      </c>
      <c r="I20" s="17">
        <f>G20+H20-C20-E20</f>
        <v>-0.1</v>
      </c>
      <c r="J20" s="17">
        <f>C20-G20</f>
        <v>-439.7</v>
      </c>
      <c r="K20" s="17"/>
    </row>
    <row r="21" ht="20.05" customHeight="1">
      <c r="B21" s="29"/>
      <c r="C21" s="16">
        <v>544.9</v>
      </c>
      <c r="D21" s="17">
        <v>3366.5</v>
      </c>
      <c r="E21" s="17">
        <f>D21-C21</f>
        <v>2821.6</v>
      </c>
      <c r="F21" s="17">
        <v>1917</v>
      </c>
      <c r="G21" s="17">
        <v>717.12</v>
      </c>
      <c r="H21" s="17">
        <v>2649.37</v>
      </c>
      <c r="I21" s="17">
        <f>G21+H21-C21-E21</f>
        <v>-0.01</v>
      </c>
      <c r="J21" s="17">
        <f>C21-G21</f>
        <v>-172.22</v>
      </c>
      <c r="K21" s="17"/>
    </row>
    <row r="22" ht="20.05" customHeight="1">
      <c r="B22" s="29"/>
      <c r="C22" s="16">
        <v>530.02</v>
      </c>
      <c r="D22" s="17">
        <v>3238.3</v>
      </c>
      <c r="E22" s="17">
        <f>D22-C22</f>
        <v>2708.28</v>
      </c>
      <c r="F22" s="17">
        <f>1961</f>
        <v>1961</v>
      </c>
      <c r="G22" s="17">
        <v>642</v>
      </c>
      <c r="H22" s="17">
        <v>2596.2</v>
      </c>
      <c r="I22" s="17">
        <f>G22+H22-C22-E22</f>
        <v>-0.1</v>
      </c>
      <c r="J22" s="17">
        <f>C22-G22</f>
        <v>-111.98</v>
      </c>
      <c r="K22" s="17"/>
    </row>
    <row r="23" ht="20.05" customHeight="1">
      <c r="B23" s="29"/>
      <c r="C23" s="16">
        <v>692.8</v>
      </c>
      <c r="D23" s="17">
        <v>3375.5</v>
      </c>
      <c r="E23" s="17">
        <f>D23-C23</f>
        <v>2682.7</v>
      </c>
      <c r="F23" s="17">
        <f>50+1959</f>
        <v>2009</v>
      </c>
      <c r="G23" s="17">
        <v>727</v>
      </c>
      <c r="H23" s="17">
        <v>2648.5</v>
      </c>
      <c r="I23" s="17">
        <f>G23+H23-C23-E23</f>
        <v>0</v>
      </c>
      <c r="J23" s="17">
        <f>C23-G23</f>
        <v>-34.2</v>
      </c>
      <c r="K23" s="17"/>
    </row>
    <row r="24" ht="20.05" customHeight="1">
      <c r="B24" s="30">
        <v>2021</v>
      </c>
      <c r="C24" s="16">
        <v>933.5</v>
      </c>
      <c r="D24" s="17">
        <v>3760.2</v>
      </c>
      <c r="E24" s="17">
        <f>D24-C24</f>
        <v>2826.7</v>
      </c>
      <c r="F24" s="17">
        <f>56+1981</f>
        <v>2037</v>
      </c>
      <c r="G24" s="17">
        <v>921.25</v>
      </c>
      <c r="H24" s="17">
        <v>2838.9</v>
      </c>
      <c r="I24" s="17">
        <f>G24+H24-C24-E24</f>
        <v>-0.05</v>
      </c>
      <c r="J24" s="17">
        <f>C24-G24</f>
        <v>12.25</v>
      </c>
      <c r="K24" s="17"/>
    </row>
    <row r="25" ht="20.05" customHeight="1">
      <c r="B25" s="29"/>
      <c r="C25" s="16">
        <v>911</v>
      </c>
      <c r="D25" s="17">
        <v>3972</v>
      </c>
      <c r="E25" s="17">
        <f>D25-C25</f>
        <v>3061</v>
      </c>
      <c r="F25" s="17">
        <f>2001+62</f>
        <v>2063</v>
      </c>
      <c r="G25" s="17">
        <v>1157</v>
      </c>
      <c r="H25" s="17">
        <v>2815</v>
      </c>
      <c r="I25" s="17">
        <f>G25+H25-C25-E25</f>
        <v>0</v>
      </c>
      <c r="J25" s="17">
        <f>C25-G25</f>
        <v>-246</v>
      </c>
      <c r="K25" s="17"/>
    </row>
    <row r="26" ht="20.05" customHeight="1">
      <c r="B26" s="29"/>
      <c r="C26" s="16">
        <v>675</v>
      </c>
      <c r="D26" s="17">
        <v>3857</v>
      </c>
      <c r="E26" s="17">
        <f>D26-C26</f>
        <v>3182</v>
      </c>
      <c r="F26" s="17">
        <f>F25+'Sales'!E25</f>
        <v>2096.8</v>
      </c>
      <c r="G26" s="17">
        <v>989</v>
      </c>
      <c r="H26" s="17">
        <v>2868</v>
      </c>
      <c r="I26" s="17">
        <f>G26+H26-C26-E26</f>
        <v>0</v>
      </c>
      <c r="J26" s="17">
        <f>C26-G26</f>
        <v>-314</v>
      </c>
      <c r="K26" s="17"/>
    </row>
    <row r="27" ht="20.05" customHeight="1">
      <c r="B27" s="29"/>
      <c r="C27" s="16">
        <v>661</v>
      </c>
      <c r="D27" s="17">
        <v>3869</v>
      </c>
      <c r="E27" s="17">
        <f>D27-C27</f>
        <v>3208</v>
      </c>
      <c r="F27" s="17">
        <f>66+2053</f>
        <v>2119</v>
      </c>
      <c r="G27" s="17">
        <v>957</v>
      </c>
      <c r="H27" s="17">
        <v>2912</v>
      </c>
      <c r="I27" s="17">
        <f>G27+H27-C27-E27</f>
        <v>0</v>
      </c>
      <c r="J27" s="17">
        <f>C27-G27</f>
        <v>-296</v>
      </c>
      <c r="K27" s="17"/>
    </row>
    <row r="28" ht="20.05" customHeight="1">
      <c r="B28" s="30">
        <v>2022</v>
      </c>
      <c r="C28" s="16">
        <v>884</v>
      </c>
      <c r="D28" s="17">
        <v>4099</v>
      </c>
      <c r="E28" s="17">
        <f>D28-C28</f>
        <v>3215</v>
      </c>
      <c r="F28" s="17">
        <f>2071+71</f>
        <v>2142</v>
      </c>
      <c r="G28" s="17">
        <v>979</v>
      </c>
      <c r="H28" s="17">
        <v>3120</v>
      </c>
      <c r="I28" s="17">
        <f>G28+H28-C28-E28</f>
        <v>0</v>
      </c>
      <c r="J28" s="17">
        <f>C28-G28</f>
        <v>-95</v>
      </c>
      <c r="K28" s="17">
        <v>-16.860396774058</v>
      </c>
    </row>
    <row r="29" ht="20.05" customHeight="1">
      <c r="B29" s="29"/>
      <c r="C29" s="16"/>
      <c r="D29" s="17"/>
      <c r="E29" s="17"/>
      <c r="F29" s="17"/>
      <c r="G29" s="17"/>
      <c r="H29" s="17"/>
      <c r="I29" s="17"/>
      <c r="J29" s="17"/>
      <c r="K29" s="17">
        <f>'Model'!F32</f>
        <v>162.995015153848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7" customWidth="1"/>
    <col min="2" max="5" width="9.9375" style="37" customWidth="1"/>
    <col min="6" max="16384" width="16.3516" style="37" customWidth="1"/>
  </cols>
  <sheetData>
    <row r="1" ht="30.75" customHeight="1"/>
    <row r="2" ht="27.65" customHeight="1">
      <c r="B2" t="s" s="2">
        <v>56</v>
      </c>
      <c r="C2" s="2"/>
      <c r="D2" s="2"/>
      <c r="E2" s="2"/>
    </row>
    <row r="3" ht="32.25" customHeight="1">
      <c r="B3" s="4"/>
      <c r="C3" t="s" s="3">
        <v>57</v>
      </c>
      <c r="D3" t="s" s="3">
        <v>38</v>
      </c>
      <c r="E3" t="s" s="3">
        <v>58</v>
      </c>
    </row>
    <row r="4" ht="20.25" customHeight="1">
      <c r="B4" s="25">
        <v>2016</v>
      </c>
      <c r="C4" s="33">
        <v>975.862122</v>
      </c>
      <c r="D4" s="7"/>
      <c r="E4" s="7"/>
    </row>
    <row r="5" ht="20.05" customHeight="1">
      <c r="B5" s="29"/>
      <c r="C5" s="16">
        <v>958.543335</v>
      </c>
      <c r="D5" s="20"/>
      <c r="E5" s="20"/>
    </row>
    <row r="6" ht="20.05" customHeight="1">
      <c r="B6" s="29"/>
      <c r="C6" s="16">
        <v>920.979858</v>
      </c>
      <c r="D6" s="20"/>
      <c r="E6" s="20"/>
    </row>
    <row r="7" ht="20.05" customHeight="1">
      <c r="B7" s="29"/>
      <c r="C7" s="16">
        <v>832.011719</v>
      </c>
      <c r="D7" s="20"/>
      <c r="E7" s="20"/>
    </row>
    <row r="8" ht="20.05" customHeight="1">
      <c r="B8" s="30">
        <v>2017</v>
      </c>
      <c r="C8" s="16">
        <v>921.155762</v>
      </c>
      <c r="D8" s="20"/>
      <c r="E8" s="20"/>
    </row>
    <row r="9" ht="20.05" customHeight="1">
      <c r="B9" s="29"/>
      <c r="C9" s="16">
        <v>1040.134888</v>
      </c>
      <c r="D9" s="20"/>
      <c r="E9" s="20"/>
    </row>
    <row r="10" ht="20.05" customHeight="1">
      <c r="B10" s="29"/>
      <c r="C10" s="16">
        <v>976.263489</v>
      </c>
      <c r="D10" s="20"/>
      <c r="E10" s="20"/>
    </row>
    <row r="11" ht="20.05" customHeight="1">
      <c r="B11" s="29"/>
      <c r="C11" s="16">
        <v>1111.378052</v>
      </c>
      <c r="D11" s="20"/>
      <c r="E11" s="20"/>
    </row>
    <row r="12" ht="20.05" customHeight="1">
      <c r="B12" s="30">
        <v>2018</v>
      </c>
      <c r="C12" s="16">
        <v>1191.078613</v>
      </c>
      <c r="D12" s="20"/>
      <c r="E12" s="20"/>
    </row>
    <row r="13" ht="20.05" customHeight="1">
      <c r="B13" s="29"/>
      <c r="C13" s="16">
        <v>1177.282349</v>
      </c>
      <c r="D13" s="20"/>
      <c r="E13" s="20"/>
    </row>
    <row r="14" ht="20.05" customHeight="1">
      <c r="B14" s="29"/>
      <c r="C14" s="16">
        <v>1277.512695</v>
      </c>
      <c r="D14" s="20"/>
      <c r="E14" s="20"/>
    </row>
    <row r="15" ht="20.05" customHeight="1">
      <c r="B15" s="29"/>
      <c r="C15" s="16">
        <v>1286.13501</v>
      </c>
      <c r="D15" s="20"/>
      <c r="E15" s="20"/>
    </row>
    <row r="16" ht="20.05" customHeight="1">
      <c r="B16" s="30">
        <v>2019</v>
      </c>
      <c r="C16" s="16">
        <v>1488.241699</v>
      </c>
      <c r="D16" s="20"/>
      <c r="E16" s="20"/>
    </row>
    <row r="17" ht="20.05" customHeight="1">
      <c r="B17" s="29"/>
      <c r="C17" s="16">
        <v>1416.858398</v>
      </c>
      <c r="D17" s="20"/>
      <c r="E17" s="20"/>
    </row>
    <row r="18" ht="20.05" customHeight="1">
      <c r="B18" s="29"/>
      <c r="C18" s="16">
        <v>1335.992188</v>
      </c>
      <c r="D18" s="20"/>
      <c r="E18" s="20"/>
    </row>
    <row r="19" ht="20.05" customHeight="1">
      <c r="B19" s="29"/>
      <c r="C19" s="16">
        <v>1422.095947</v>
      </c>
      <c r="D19" s="20"/>
      <c r="E19" s="20"/>
    </row>
    <row r="20" ht="20.05" customHeight="1">
      <c r="B20" s="30">
        <v>2020</v>
      </c>
      <c r="C20" s="16">
        <v>1102.362915</v>
      </c>
      <c r="D20" s="20"/>
      <c r="E20" s="20"/>
    </row>
    <row r="21" ht="20.05" customHeight="1">
      <c r="B21" s="29"/>
      <c r="C21" s="16">
        <v>1002.148132</v>
      </c>
      <c r="D21" s="20"/>
      <c r="E21" s="20"/>
    </row>
    <row r="22" ht="20.05" customHeight="1">
      <c r="B22" s="29"/>
      <c r="C22" s="16">
        <v>1163.323975</v>
      </c>
      <c r="D22" s="20"/>
      <c r="E22" s="20"/>
    </row>
    <row r="23" ht="20.05" customHeight="1">
      <c r="B23" s="29"/>
      <c r="C23" s="16">
        <v>1365.354614</v>
      </c>
      <c r="D23" s="20"/>
      <c r="E23" s="20"/>
    </row>
    <row r="24" ht="20.05" customHeight="1">
      <c r="B24" s="30">
        <v>2021</v>
      </c>
      <c r="C24" s="16">
        <v>1340</v>
      </c>
      <c r="D24" s="38"/>
      <c r="E24" s="38"/>
    </row>
    <row r="25" ht="20.05" customHeight="1">
      <c r="B25" s="29"/>
      <c r="C25" s="16">
        <v>1335</v>
      </c>
      <c r="D25" s="38"/>
      <c r="E25" s="38"/>
    </row>
    <row r="26" ht="20.05" customHeight="1">
      <c r="B26" s="29"/>
      <c r="C26" s="16">
        <v>1400</v>
      </c>
      <c r="D26" s="17">
        <v>2229.448374712190</v>
      </c>
      <c r="E26" s="20"/>
    </row>
    <row r="27" ht="20.05" customHeight="1">
      <c r="B27" s="29"/>
      <c r="C27" s="16">
        <v>1360</v>
      </c>
      <c r="D27" s="39">
        <v>2173.963691907980</v>
      </c>
      <c r="E27" s="38"/>
    </row>
    <row r="28" ht="20.05" customHeight="1">
      <c r="B28" s="30">
        <v>2022</v>
      </c>
      <c r="C28" s="16">
        <v>1420</v>
      </c>
      <c r="D28" s="17">
        <v>2273.4761144249</v>
      </c>
      <c r="E28" s="20"/>
    </row>
    <row r="29" ht="20.05" customHeight="1">
      <c r="B29" s="29"/>
      <c r="C29" s="16">
        <v>1535</v>
      </c>
      <c r="D29" s="39">
        <v>2294.7931434155</v>
      </c>
      <c r="E29" s="20"/>
    </row>
    <row r="30" ht="20.05" customHeight="1">
      <c r="B30" s="29"/>
      <c r="C30" s="16"/>
      <c r="D30" s="39">
        <f>'Model'!F45</f>
        <v>2370.522981488880</v>
      </c>
      <c r="E30" s="20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V5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2.3984" style="40" customWidth="1"/>
    <col min="11" max="22" width="11.375" style="41" customWidth="1"/>
    <col min="23" max="16384" width="16.3516" style="41" customWidth="1"/>
  </cols>
  <sheetData>
    <row r="1" ht="27.65" customHeight="1">
      <c r="A1" t="s" s="2">
        <v>59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24">
        <v>1</v>
      </c>
      <c r="B2" t="s" s="24">
        <v>12</v>
      </c>
      <c r="C2" t="s" s="24">
        <v>15</v>
      </c>
      <c r="D2" t="s" s="24">
        <v>60</v>
      </c>
      <c r="E2" t="s" s="24">
        <v>12</v>
      </c>
      <c r="F2" t="s" s="24">
        <v>15</v>
      </c>
      <c r="G2" t="s" s="24">
        <v>60</v>
      </c>
      <c r="H2" s="4"/>
      <c r="I2" s="4"/>
      <c r="J2" s="4"/>
    </row>
    <row r="3" ht="20.25" customHeight="1">
      <c r="A3" s="25">
        <v>1995</v>
      </c>
      <c r="B3" s="33">
        <v>7</v>
      </c>
      <c r="C3" s="34">
        <v>0</v>
      </c>
      <c r="D3" s="34">
        <f>B3+C3</f>
        <v>7</v>
      </c>
      <c r="E3" s="34">
        <f>B3</f>
        <v>7</v>
      </c>
      <c r="F3" s="34">
        <f>C3</f>
        <v>0</v>
      </c>
      <c r="G3" s="34">
        <f>D3</f>
        <v>7</v>
      </c>
      <c r="H3" s="35"/>
      <c r="I3" s="35"/>
      <c r="J3" s="35"/>
    </row>
    <row r="4" ht="20.05" customHeight="1">
      <c r="A4" s="30">
        <f>1+$A3</f>
        <v>1996</v>
      </c>
      <c r="B4" s="16">
        <v>-31</v>
      </c>
      <c r="C4" s="17">
        <v>60</v>
      </c>
      <c r="D4" s="17">
        <f>B4+C4</f>
        <v>29</v>
      </c>
      <c r="E4" s="17">
        <f>B4+E3</f>
        <v>-24</v>
      </c>
      <c r="F4" s="17">
        <f>C4+F3</f>
        <v>60</v>
      </c>
      <c r="G4" s="17">
        <f>D4+G3</f>
        <v>36</v>
      </c>
      <c r="H4" s="15"/>
      <c r="I4" s="15"/>
      <c r="J4" s="15"/>
    </row>
    <row r="5" ht="20.05" customHeight="1">
      <c r="A5" s="30">
        <f>1+$A4</f>
        <v>1997</v>
      </c>
      <c r="B5" s="16">
        <v>25</v>
      </c>
      <c r="C5" s="17">
        <v>-8</v>
      </c>
      <c r="D5" s="17">
        <f>B5+C5</f>
        <v>17</v>
      </c>
      <c r="E5" s="17">
        <f>B5+E4</f>
        <v>1</v>
      </c>
      <c r="F5" s="17">
        <f>C5+F4</f>
        <v>52</v>
      </c>
      <c r="G5" s="17">
        <f>D5+G4</f>
        <v>53</v>
      </c>
      <c r="H5" s="15"/>
      <c r="I5" s="15"/>
      <c r="J5" s="15"/>
    </row>
    <row r="6" ht="20.05" customHeight="1">
      <c r="A6" s="30">
        <f>1+$A5</f>
        <v>1998</v>
      </c>
      <c r="B6" s="16">
        <v>-26</v>
      </c>
      <c r="C6" s="17">
        <v>-11</v>
      </c>
      <c r="D6" s="17">
        <f>B6+C6</f>
        <v>-37</v>
      </c>
      <c r="E6" s="17">
        <f>B6+E5</f>
        <v>-25</v>
      </c>
      <c r="F6" s="17">
        <f>C6+F5</f>
        <v>41</v>
      </c>
      <c r="G6" s="17">
        <f>D6+G5</f>
        <v>16</v>
      </c>
      <c r="H6" s="15"/>
      <c r="I6" s="15"/>
      <c r="J6" s="15"/>
    </row>
    <row r="7" ht="20.05" customHeight="1">
      <c r="A7" s="30">
        <f>1+$A6</f>
        <v>1999</v>
      </c>
      <c r="B7" s="16">
        <v>18</v>
      </c>
      <c r="C7" s="17">
        <v>-27</v>
      </c>
      <c r="D7" s="17">
        <f>B7+C7</f>
        <v>-9</v>
      </c>
      <c r="E7" s="17">
        <f>B7+E6</f>
        <v>-7</v>
      </c>
      <c r="F7" s="17">
        <f>C7+F6</f>
        <v>14</v>
      </c>
      <c r="G7" s="17">
        <f>D7+G6</f>
        <v>7</v>
      </c>
      <c r="H7" s="15"/>
      <c r="I7" s="15"/>
      <c r="J7" s="15"/>
    </row>
    <row r="8" ht="20.05" customHeight="1">
      <c r="A8" s="30">
        <f>1+$A7</f>
        <v>2000</v>
      </c>
      <c r="B8" s="16">
        <v>80</v>
      </c>
      <c r="C8" s="17">
        <v>22</v>
      </c>
      <c r="D8" s="17">
        <f>B8+C8</f>
        <v>102</v>
      </c>
      <c r="E8" s="17">
        <f>B8+E7</f>
        <v>73</v>
      </c>
      <c r="F8" s="17">
        <f>C8+F7</f>
        <v>36</v>
      </c>
      <c r="G8" s="17">
        <f>D8+G7</f>
        <v>109</v>
      </c>
      <c r="H8" s="15"/>
      <c r="I8" s="15"/>
      <c r="J8" s="15"/>
    </row>
    <row r="9" ht="20.05" customHeight="1">
      <c r="A9" s="30">
        <f>1+$A8</f>
        <v>2001</v>
      </c>
      <c r="B9" s="16">
        <v>-2</v>
      </c>
      <c r="C9" s="17">
        <v>-18</v>
      </c>
      <c r="D9" s="17">
        <f>B9+C9</f>
        <v>-20</v>
      </c>
      <c r="E9" s="17">
        <f>B9+E8</f>
        <v>71</v>
      </c>
      <c r="F9" s="17">
        <f>C9+F8</f>
        <v>18</v>
      </c>
      <c r="G9" s="17">
        <f>D9+G8</f>
        <v>89</v>
      </c>
      <c r="H9" s="15"/>
      <c r="I9" s="15"/>
      <c r="J9" s="15"/>
    </row>
    <row r="10" ht="20.05" customHeight="1">
      <c r="A10" s="30">
        <f>1+$A9</f>
        <v>2002</v>
      </c>
      <c r="B10" s="16">
        <v>-26</v>
      </c>
      <c r="C10" s="17">
        <v>-7</v>
      </c>
      <c r="D10" s="17">
        <f>B10+C10</f>
        <v>-33</v>
      </c>
      <c r="E10" s="17">
        <f>B10+E9</f>
        <v>45</v>
      </c>
      <c r="F10" s="17">
        <f>C10+F9</f>
        <v>11</v>
      </c>
      <c r="G10" s="17">
        <f>D10+G9</f>
        <v>56</v>
      </c>
      <c r="H10" s="15"/>
      <c r="I10" s="15"/>
      <c r="J10" s="15"/>
    </row>
    <row r="11" ht="20.05" customHeight="1">
      <c r="A11" s="30">
        <f>1+$A10</f>
        <v>2003</v>
      </c>
      <c r="B11" s="16">
        <v>-5</v>
      </c>
      <c r="C11" s="17">
        <v>-48</v>
      </c>
      <c r="D11" s="17">
        <f>B11+C11</f>
        <v>-53</v>
      </c>
      <c r="E11" s="17">
        <f>B11+E10</f>
        <v>40</v>
      </c>
      <c r="F11" s="17">
        <f>C11+F10</f>
        <v>-37</v>
      </c>
      <c r="G11" s="17">
        <f>D11+G10</f>
        <v>3</v>
      </c>
      <c r="H11" s="15"/>
      <c r="I11" s="15"/>
      <c r="J11" s="15"/>
    </row>
    <row r="12" ht="20.05" customHeight="1">
      <c r="A12" s="30">
        <f>1+$A11</f>
        <v>2004</v>
      </c>
      <c r="B12" s="16">
        <v>15</v>
      </c>
      <c r="C12" s="17">
        <f>-70-B12</f>
        <v>-85</v>
      </c>
      <c r="D12" s="17">
        <f>B12+C12</f>
        <v>-70</v>
      </c>
      <c r="E12" s="17">
        <f>B12+E11</f>
        <v>55</v>
      </c>
      <c r="F12" s="17">
        <f>C12+F11</f>
        <v>-122</v>
      </c>
      <c r="G12" s="17">
        <f>D12+G11</f>
        <v>-67</v>
      </c>
      <c r="H12" s="15"/>
      <c r="I12" s="15"/>
      <c r="J12" s="15"/>
    </row>
    <row r="13" ht="20.05" customHeight="1">
      <c r="A13" s="30">
        <v>2005</v>
      </c>
      <c r="B13" s="16">
        <f>-61-C13</f>
        <v>-20</v>
      </c>
      <c r="C13" s="17">
        <v>-41</v>
      </c>
      <c r="D13" s="17">
        <f>B13+C13</f>
        <v>-61</v>
      </c>
      <c r="E13" s="17">
        <f>B13+E12</f>
        <v>35</v>
      </c>
      <c r="F13" s="17">
        <f>C13+F12</f>
        <v>-163</v>
      </c>
      <c r="G13" s="17">
        <f>D13+G12</f>
        <v>-128</v>
      </c>
      <c r="H13" s="15"/>
      <c r="I13" s="15"/>
      <c r="J13" s="15"/>
    </row>
    <row r="14" ht="20.05" customHeight="1">
      <c r="A14" s="30">
        <f>1+$A13</f>
        <v>2006</v>
      </c>
      <c r="B14" s="14">
        <v>5</v>
      </c>
      <c r="C14" s="17">
        <v>-30</v>
      </c>
      <c r="D14" s="17">
        <f>B14+C14</f>
        <v>-25</v>
      </c>
      <c r="E14" s="17">
        <f>B14+E13</f>
        <v>40</v>
      </c>
      <c r="F14" s="17">
        <f>C14+F13</f>
        <v>-193</v>
      </c>
      <c r="G14" s="17">
        <f>D14+G13</f>
        <v>-153</v>
      </c>
      <c r="H14" s="15"/>
      <c r="I14" s="15"/>
      <c r="J14" s="15"/>
    </row>
    <row r="15" ht="20.05" customHeight="1">
      <c r="A15" s="30">
        <f>1+$A14</f>
        <v>2007</v>
      </c>
      <c r="B15" s="14">
        <v>64</v>
      </c>
      <c r="C15" s="17">
        <v>-53</v>
      </c>
      <c r="D15" s="17">
        <f>B15+C15</f>
        <v>11</v>
      </c>
      <c r="E15" s="17">
        <f>B15+E14</f>
        <v>104</v>
      </c>
      <c r="F15" s="17">
        <f>C15+F14</f>
        <v>-246</v>
      </c>
      <c r="G15" s="17">
        <f>D15+G14</f>
        <v>-142</v>
      </c>
      <c r="H15" s="15"/>
      <c r="I15" s="15"/>
      <c r="J15" s="15"/>
    </row>
    <row r="16" ht="20.05" customHeight="1">
      <c r="A16" s="30">
        <f>1+$A15</f>
        <v>2008</v>
      </c>
      <c r="B16" s="16">
        <v>10</v>
      </c>
      <c r="C16" s="17">
        <v>-29</v>
      </c>
      <c r="D16" s="17">
        <f>B16+C16</f>
        <v>-19</v>
      </c>
      <c r="E16" s="17">
        <f>B16+E15</f>
        <v>114</v>
      </c>
      <c r="F16" s="17">
        <f>C16+F15</f>
        <v>-275</v>
      </c>
      <c r="G16" s="17">
        <f>D16+G15</f>
        <v>-161</v>
      </c>
      <c r="H16" s="15"/>
      <c r="I16" s="15"/>
      <c r="J16" s="15"/>
    </row>
    <row r="17" ht="20.05" customHeight="1">
      <c r="A17" s="30">
        <f>1+$A16</f>
        <v>2009</v>
      </c>
      <c r="B17" s="16">
        <v>-6</v>
      </c>
      <c r="C17" s="17">
        <f>-212-B17</f>
        <v>-206</v>
      </c>
      <c r="D17" s="17">
        <f>B17+C17</f>
        <v>-212</v>
      </c>
      <c r="E17" s="17">
        <f>B17+E16</f>
        <v>108</v>
      </c>
      <c r="F17" s="17">
        <f>C17+F16</f>
        <v>-481</v>
      </c>
      <c r="G17" s="17">
        <f>D17+G16</f>
        <v>-373</v>
      </c>
      <c r="H17" s="15"/>
      <c r="I17" s="15"/>
      <c r="J17" s="15"/>
    </row>
    <row r="18" ht="20.05" customHeight="1">
      <c r="A18" s="30">
        <f>1+$A17</f>
        <v>2010</v>
      </c>
      <c r="B18" s="16">
        <f>238-123</f>
        <v>115</v>
      </c>
      <c r="C18" s="17">
        <v>-142</v>
      </c>
      <c r="D18" s="17">
        <f>B18+C18</f>
        <v>-27</v>
      </c>
      <c r="E18" s="17">
        <f>B18+E17</f>
        <v>223</v>
      </c>
      <c r="F18" s="17">
        <f>C18+F17</f>
        <v>-623</v>
      </c>
      <c r="G18" s="17">
        <f>D18+G17</f>
        <v>-400</v>
      </c>
      <c r="H18" s="15"/>
      <c r="I18" s="15"/>
      <c r="J18" s="15"/>
    </row>
    <row r="19" ht="20.05" customHeight="1">
      <c r="A19" s="30">
        <f>1+$A18</f>
        <v>2011</v>
      </c>
      <c r="B19" s="16">
        <v>-2</v>
      </c>
      <c r="C19" s="17">
        <v>-124</v>
      </c>
      <c r="D19" s="17">
        <f>B19+C19</f>
        <v>-126</v>
      </c>
      <c r="E19" s="17">
        <f>B19+E18</f>
        <v>221</v>
      </c>
      <c r="F19" s="17">
        <f>C19+F18</f>
        <v>-747</v>
      </c>
      <c r="G19" s="17">
        <f>D19+G18</f>
        <v>-526</v>
      </c>
      <c r="H19" s="15"/>
      <c r="I19" s="15"/>
      <c r="J19" s="15"/>
    </row>
    <row r="20" ht="20.05" customHeight="1">
      <c r="A20" s="30">
        <f>1+$A19</f>
        <v>2012</v>
      </c>
      <c r="B20" s="16">
        <v>60</v>
      </c>
      <c r="C20" s="17">
        <v>-227</v>
      </c>
      <c r="D20" s="17">
        <f>B20+C20</f>
        <v>-167</v>
      </c>
      <c r="E20" s="17">
        <f>B20+E19</f>
        <v>281</v>
      </c>
      <c r="F20" s="17">
        <f>C20+F19</f>
        <v>-974</v>
      </c>
      <c r="G20" s="17">
        <f>D20+G19</f>
        <v>-693</v>
      </c>
      <c r="H20" s="15"/>
      <c r="I20" s="15"/>
      <c r="J20" s="15"/>
    </row>
    <row r="21" ht="20.05" customHeight="1">
      <c r="A21" s="30">
        <f>1+$A20</f>
        <v>2013</v>
      </c>
      <c r="B21" s="16">
        <f>-213-C21</f>
        <v>-55</v>
      </c>
      <c r="C21" s="17">
        <v>-158</v>
      </c>
      <c r="D21" s="17">
        <f>B21+C21</f>
        <v>-213</v>
      </c>
      <c r="E21" s="17">
        <f>B21+E20</f>
        <v>226</v>
      </c>
      <c r="F21" s="17">
        <f>C21+F20</f>
        <v>-1132</v>
      </c>
      <c r="G21" s="17">
        <f>D21+G20</f>
        <v>-906</v>
      </c>
      <c r="H21" s="15"/>
      <c r="I21" s="15"/>
      <c r="J21" s="15"/>
    </row>
    <row r="22" ht="20.05" customHeight="1">
      <c r="A22" s="30">
        <f>1+$A21</f>
        <v>2014</v>
      </c>
      <c r="B22" s="16">
        <f>-326-C22</f>
        <v>-68</v>
      </c>
      <c r="C22" s="17">
        <f>-223-35</f>
        <v>-258</v>
      </c>
      <c r="D22" s="17">
        <f>B22+C22</f>
        <v>-326</v>
      </c>
      <c r="E22" s="17">
        <f>B22+E21</f>
        <v>158</v>
      </c>
      <c r="F22" s="17">
        <f>C22+F21</f>
        <v>-1390</v>
      </c>
      <c r="G22" s="17">
        <f>D22+G21</f>
        <v>-1232</v>
      </c>
      <c r="H22" s="15"/>
      <c r="I22" s="15"/>
      <c r="J22" s="15"/>
    </row>
    <row r="23" ht="20.05" customHeight="1">
      <c r="A23" s="30">
        <f>1+$A22</f>
        <v>2015</v>
      </c>
      <c r="B23" s="16">
        <f>-234-C23</f>
        <v>-24</v>
      </c>
      <c r="C23" s="17">
        <v>-210</v>
      </c>
      <c r="D23" s="17">
        <f>B23+C23</f>
        <v>-234</v>
      </c>
      <c r="E23" s="17">
        <f>B23+E22</f>
        <v>134</v>
      </c>
      <c r="F23" s="17">
        <f>C23+F22</f>
        <v>-1600</v>
      </c>
      <c r="G23" s="17">
        <f>D23+G22</f>
        <v>-1466</v>
      </c>
      <c r="H23" s="15"/>
      <c r="I23" s="15"/>
      <c r="J23" s="15"/>
    </row>
    <row r="24" ht="20.05" customHeight="1">
      <c r="A24" s="30">
        <f>1+$A23</f>
        <v>2016</v>
      </c>
      <c r="B24" s="16">
        <f>-483-C24</f>
        <v>-162</v>
      </c>
      <c r="C24" s="17">
        <f>-281-40</f>
        <v>-321</v>
      </c>
      <c r="D24" s="17">
        <f>B24+C24</f>
        <v>-483</v>
      </c>
      <c r="E24" s="17">
        <f>B24+E23</f>
        <v>-28</v>
      </c>
      <c r="F24" s="17">
        <f>C24+F23</f>
        <v>-1921</v>
      </c>
      <c r="G24" s="17">
        <f>D24+G23</f>
        <v>-1949</v>
      </c>
      <c r="H24" s="15"/>
      <c r="I24" s="15"/>
      <c r="J24" s="15"/>
    </row>
    <row r="25" ht="20.05" customHeight="1">
      <c r="A25" s="30">
        <f>1+$A24</f>
        <v>2017</v>
      </c>
      <c r="B25" s="16">
        <f>-370-C25+2</f>
        <v>-53</v>
      </c>
      <c r="C25" s="17">
        <f>-288-27</f>
        <v>-315</v>
      </c>
      <c r="D25" s="17">
        <f>B25+C25</f>
        <v>-368</v>
      </c>
      <c r="E25" s="17">
        <f>B25+E24</f>
        <v>-81</v>
      </c>
      <c r="F25" s="17">
        <f>C25+F24</f>
        <v>-2236</v>
      </c>
      <c r="G25" s="17">
        <f>D25+G24</f>
        <v>-2317</v>
      </c>
      <c r="H25" s="15"/>
      <c r="I25" s="15"/>
      <c r="J25" s="15"/>
    </row>
    <row r="26" ht="20.05" customHeight="1">
      <c r="A26" s="30">
        <f>1+$A25</f>
        <v>2018</v>
      </c>
      <c r="B26" s="16">
        <f>-354+5-C26</f>
        <v>-19</v>
      </c>
      <c r="C26" s="17">
        <v>-330</v>
      </c>
      <c r="D26" s="17">
        <f>B26+C26</f>
        <v>-349</v>
      </c>
      <c r="E26" s="17">
        <f>B26+E25</f>
        <v>-100</v>
      </c>
      <c r="F26" s="17">
        <f>C26+F25</f>
        <v>-2566</v>
      </c>
      <c r="G26" s="17">
        <f>D26+G25</f>
        <v>-2666</v>
      </c>
      <c r="H26" s="15"/>
      <c r="I26" s="15"/>
      <c r="J26" s="15"/>
    </row>
    <row r="27" ht="20.05" customHeight="1">
      <c r="A27" s="30">
        <f>1+$A26</f>
        <v>2019</v>
      </c>
      <c r="B27" s="16">
        <f>-383+9-C27</f>
        <v>-8</v>
      </c>
      <c r="C27" s="17">
        <v>-366</v>
      </c>
      <c r="D27" s="17">
        <f>B27+C27</f>
        <v>-374</v>
      </c>
      <c r="E27" s="17">
        <f>B27+E26</f>
        <v>-108</v>
      </c>
      <c r="F27" s="17">
        <f>C27+F26</f>
        <v>-2932</v>
      </c>
      <c r="G27" s="17">
        <f>D27+G26</f>
        <v>-3040</v>
      </c>
      <c r="H27" s="15"/>
      <c r="I27" s="15"/>
      <c r="J27" s="15"/>
    </row>
    <row r="28" ht="20.05" customHeight="1">
      <c r="A28" s="30">
        <f>1+$A27</f>
        <v>2020</v>
      </c>
      <c r="B28" s="16">
        <f>-431+29+13-C28</f>
        <v>-13</v>
      </c>
      <c r="C28" s="17">
        <v>-376</v>
      </c>
      <c r="D28" s="17">
        <f>B28+C28</f>
        <v>-389</v>
      </c>
      <c r="E28" s="17">
        <f>B28+E27</f>
        <v>-121</v>
      </c>
      <c r="F28" s="17">
        <f>C28+F27</f>
        <v>-3308</v>
      </c>
      <c r="G28" s="17">
        <f>D28+G27</f>
        <v>-3429</v>
      </c>
      <c r="H28" s="15"/>
      <c r="I28" s="15"/>
      <c r="J28" s="15"/>
    </row>
    <row r="29" ht="20.05" customHeight="1">
      <c r="A29" s="30">
        <f>1+$A28</f>
        <v>2021</v>
      </c>
      <c r="B29" s="16">
        <f>SUM('Cashflow '!G24:G27)</f>
        <v>123.8</v>
      </c>
      <c r="C29" s="17">
        <f>SUM('Cashflow '!H24:H27)</f>
        <v>-446.6</v>
      </c>
      <c r="D29" s="17">
        <f>B29+C29</f>
        <v>-322.8</v>
      </c>
      <c r="E29" s="17">
        <f>B29+E28</f>
        <v>2.8</v>
      </c>
      <c r="F29" s="17">
        <f>C29+F28</f>
        <v>-3754.6</v>
      </c>
      <c r="G29" s="17">
        <f>D29+G28</f>
        <v>-3751.8</v>
      </c>
      <c r="H29" s="15">
        <f>AVERAGE(D3:D29)</f>
        <v>-138.955555555556</v>
      </c>
      <c r="I29" s="15">
        <f>AVERAGE(D25:D29)</f>
        <v>-360.56</v>
      </c>
      <c r="J29" s="15">
        <f>SUM('Cashflow '!G25:H28)</f>
        <v>-420.7</v>
      </c>
    </row>
    <row r="30" ht="20.05" customHeight="1">
      <c r="A30" s="30">
        <f>1+$A29</f>
        <v>2022</v>
      </c>
      <c r="B30" s="16">
        <f>'Cashflow '!G28</f>
        <v>-48.1</v>
      </c>
      <c r="C30" s="17">
        <f>'Cashflow '!H28</f>
        <v>-3.8</v>
      </c>
      <c r="D30" s="17">
        <f>B30+C30</f>
        <v>-51.9</v>
      </c>
      <c r="E30" s="17">
        <f>B30+E29</f>
        <v>-45.3</v>
      </c>
      <c r="F30" s="17">
        <f>C30+F29</f>
        <v>-3758.4</v>
      </c>
      <c r="G30" s="17">
        <f>D30+G29</f>
        <v>-3803.7</v>
      </c>
      <c r="H30" s="15"/>
      <c r="I30" s="15"/>
      <c r="J30" s="15"/>
    </row>
    <row r="32" ht="27.65" customHeight="1">
      <c r="K32" t="s" s="2">
        <v>61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ht="20.25" customHeight="1"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ht="20.25" customHeight="1">
      <c r="K34" s="42"/>
      <c r="L34" t="s" s="43">
        <v>62</v>
      </c>
      <c r="M34" s="44">
        <v>8839574323200</v>
      </c>
      <c r="N34" s="7"/>
      <c r="O34" s="7"/>
      <c r="P34" s="7"/>
      <c r="Q34" s="7"/>
      <c r="R34" s="7"/>
      <c r="S34" s="7"/>
      <c r="T34" s="7"/>
      <c r="U34" s="7"/>
      <c r="V34" s="7"/>
    </row>
    <row r="35" ht="44.05" customHeight="1">
      <c r="K35" s="29"/>
      <c r="L35" t="s" s="45">
        <v>57</v>
      </c>
      <c r="M35" t="s" s="46">
        <v>63</v>
      </c>
      <c r="N35" s="22">
        <f>T54</f>
        <v>-0.0430978520839851</v>
      </c>
      <c r="O35" t="s" s="46">
        <f>U54</f>
        <v>64</v>
      </c>
      <c r="P35" t="s" s="46">
        <f>V54</f>
        <v>65</v>
      </c>
      <c r="Q35" s="20"/>
      <c r="R35" s="20"/>
      <c r="S35" s="20"/>
      <c r="T35" s="20"/>
      <c r="U35" s="20"/>
      <c r="V35" s="20"/>
    </row>
    <row r="36" ht="20.05" customHeight="1">
      <c r="K36" s="29"/>
      <c r="L36" s="47">
        <v>44669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ht="20.05" customHeight="1">
      <c r="K37" s="29"/>
      <c r="L37" t="s" s="45">
        <v>66</v>
      </c>
      <c r="M37" s="48">
        <f>$A3</f>
        <v>1995</v>
      </c>
      <c r="N37" s="20"/>
      <c r="O37" s="20"/>
      <c r="P37" s="20"/>
      <c r="Q37" s="20"/>
      <c r="R37" s="20"/>
      <c r="S37" s="20"/>
      <c r="T37" s="20"/>
      <c r="U37" s="20"/>
      <c r="V37" s="20"/>
    </row>
    <row r="38" ht="32.05" customHeight="1">
      <c r="K38" s="29"/>
      <c r="L38" t="s" s="45">
        <v>67</v>
      </c>
      <c r="M38" s="48">
        <f>(2022-M37)*4</f>
        <v>108</v>
      </c>
      <c r="N38" s="20"/>
      <c r="O38" s="20"/>
      <c r="P38" s="20"/>
      <c r="Q38" s="20"/>
      <c r="R38" s="20"/>
      <c r="S38" s="20"/>
      <c r="T38" s="20"/>
      <c r="U38" s="20"/>
      <c r="V38" s="20"/>
    </row>
    <row r="39" ht="32.05" customHeight="1">
      <c r="K39" s="29"/>
      <c r="L39" t="s" s="45">
        <v>68</v>
      </c>
      <c r="M39" s="17">
        <f>(M34/1000000000)</f>
        <v>8839.5743232</v>
      </c>
      <c r="N39" s="20"/>
      <c r="O39" s="20"/>
      <c r="P39" s="20"/>
      <c r="Q39" s="20"/>
      <c r="R39" s="20"/>
      <c r="S39" s="20"/>
      <c r="T39" s="20"/>
      <c r="U39" s="20"/>
      <c r="V39" s="20"/>
    </row>
    <row r="40" ht="20.05" customHeight="1">
      <c r="K40" s="29"/>
      <c r="L40" t="s" s="45">
        <v>12</v>
      </c>
      <c r="M40" s="17">
        <f>R44</f>
        <v>2.8</v>
      </c>
      <c r="N40" t="s" s="46">
        <f>R41</f>
        <v>69</v>
      </c>
      <c r="O40" t="s" s="46">
        <f>IF(M40&gt;0,"raised","paid")</f>
        <v>70</v>
      </c>
      <c r="P40" s="20"/>
      <c r="Q40" s="20"/>
      <c r="R40" s="20"/>
      <c r="S40" s="20"/>
      <c r="T40" s="20"/>
      <c r="U40" s="20"/>
      <c r="V40" s="20"/>
    </row>
    <row r="41" ht="32.05" customHeight="1">
      <c r="K41" s="29"/>
      <c r="L41" t="s" s="45">
        <f>L35</f>
        <v>57</v>
      </c>
      <c r="M41" t="s" s="46">
        <v>71</v>
      </c>
      <c r="N41" t="s" s="46">
        <f>IF(Q41&gt;0,"raised","paid")</f>
        <v>70</v>
      </c>
      <c r="O41" t="s" s="46">
        <v>72</v>
      </c>
      <c r="P41" t="s" s="46">
        <v>73</v>
      </c>
      <c r="Q41" s="17">
        <f>AVERAGE(B3:B29)</f>
        <v>0.103703703703704</v>
      </c>
      <c r="R41" t="s" s="46">
        <v>69</v>
      </c>
      <c r="S41" t="s" s="46">
        <v>74</v>
      </c>
      <c r="T41" s="22">
        <f>Q41/M39</f>
        <v>1.17317531265649e-05</v>
      </c>
      <c r="U41" t="s" s="46">
        <v>64</v>
      </c>
      <c r="V41" s="20"/>
    </row>
    <row r="42" ht="32.05" customHeight="1">
      <c r="K42" s="29"/>
      <c r="L42" t="s" s="45">
        <v>75</v>
      </c>
      <c r="M42" t="s" s="46">
        <f>O41</f>
        <v>72</v>
      </c>
      <c r="N42" t="s" s="46">
        <v>76</v>
      </c>
      <c r="O42" t="s" s="46">
        <f>IF(Q42&gt;0,"raised","paid")</f>
        <v>70</v>
      </c>
      <c r="P42" t="s" s="46">
        <v>73</v>
      </c>
      <c r="Q42" s="17">
        <f>AVERAGE(B25:B29)</f>
        <v>6.16</v>
      </c>
      <c r="R42" t="s" s="46">
        <f>R41</f>
        <v>69</v>
      </c>
      <c r="S42" t="s" s="46">
        <v>74</v>
      </c>
      <c r="T42" s="22">
        <f>Q42/M39</f>
        <v>0.00069686613571795</v>
      </c>
      <c r="U42" t="s" s="46">
        <v>64</v>
      </c>
      <c r="V42" s="20"/>
    </row>
    <row r="43" ht="44.05" customHeight="1">
      <c r="K43" s="29"/>
      <c r="L43" t="s" s="45">
        <v>77</v>
      </c>
      <c r="M43" t="s" s="46">
        <v>78</v>
      </c>
      <c r="N43" s="17">
        <f>MAX(E3:E29)</f>
        <v>281</v>
      </c>
      <c r="O43" t="s" s="46">
        <f>R42</f>
        <v>69</v>
      </c>
      <c r="P43" t="s" s="46">
        <v>79</v>
      </c>
      <c r="Q43" s="48">
        <f>$A20</f>
        <v>2012</v>
      </c>
      <c r="R43" s="20"/>
      <c r="S43" s="20"/>
      <c r="T43" s="20"/>
      <c r="U43" s="20"/>
      <c r="V43" s="20"/>
    </row>
    <row r="44" ht="32.05" customHeight="1">
      <c r="K44" s="29"/>
      <c r="L44" t="s" s="45">
        <v>80</v>
      </c>
      <c r="M44" t="s" s="46">
        <f>M42</f>
        <v>72</v>
      </c>
      <c r="N44" t="s" s="46">
        <v>81</v>
      </c>
      <c r="O44" t="s" s="46">
        <v>82</v>
      </c>
      <c r="P44" t="s" s="46">
        <f>IF(R44&lt;N43,"down","up")</f>
        <v>83</v>
      </c>
      <c r="Q44" t="s" s="46">
        <v>84</v>
      </c>
      <c r="R44" s="17">
        <f>E29</f>
        <v>2.8</v>
      </c>
      <c r="S44" t="s" s="46">
        <f>R42</f>
        <v>69</v>
      </c>
      <c r="T44" s="20"/>
      <c r="U44" s="20"/>
      <c r="V44" s="20"/>
    </row>
    <row r="45" ht="20.05" customHeight="1">
      <c r="K45" s="29"/>
      <c r="L45" t="s" s="45">
        <v>15</v>
      </c>
      <c r="M45" s="17">
        <f>R49</f>
        <v>-3754.6</v>
      </c>
      <c r="N45" t="s" s="46">
        <f>S44</f>
        <v>69</v>
      </c>
      <c r="O45" t="s" s="46">
        <f>IF(M45&gt;0,"raised","paid")</f>
        <v>85</v>
      </c>
      <c r="P45" s="20"/>
      <c r="Q45" s="20"/>
      <c r="R45" s="20"/>
      <c r="S45" s="20"/>
      <c r="T45" s="20"/>
      <c r="U45" s="20"/>
      <c r="V45" s="20"/>
    </row>
    <row r="46" ht="32.05" customHeight="1">
      <c r="K46" s="29"/>
      <c r="L46" t="s" s="45">
        <f>L41</f>
        <v>57</v>
      </c>
      <c r="M46" t="s" s="46">
        <v>71</v>
      </c>
      <c r="N46" t="s" s="46">
        <f>IF(Q46&gt;0,"raised","paid")</f>
        <v>85</v>
      </c>
      <c r="O46" t="s" s="46">
        <v>86</v>
      </c>
      <c r="P46" t="s" s="46">
        <f>P41</f>
        <v>73</v>
      </c>
      <c r="Q46" s="17">
        <f>AVERAGE(C3:C29)</f>
        <v>-139.059259259259</v>
      </c>
      <c r="R46" t="s" s="46">
        <f>R41</f>
        <v>69</v>
      </c>
      <c r="S46" t="s" s="46">
        <f>S41</f>
        <v>74</v>
      </c>
      <c r="T46" s="22">
        <f>Q46/M39</f>
        <v>-0.0157314429603572</v>
      </c>
      <c r="U46" t="s" s="46">
        <f>U41</f>
        <v>64</v>
      </c>
      <c r="V46" s="20"/>
    </row>
    <row r="47" ht="32.05" customHeight="1">
      <c r="K47" s="29"/>
      <c r="L47" t="s" s="45">
        <v>75</v>
      </c>
      <c r="M47" t="s" s="46">
        <f>O46</f>
        <v>86</v>
      </c>
      <c r="N47" t="s" s="46">
        <v>87</v>
      </c>
      <c r="O47" t="s" s="46">
        <f>IF(Q47&gt;0,"raised","paid")</f>
        <v>85</v>
      </c>
      <c r="P47" t="s" s="46">
        <v>73</v>
      </c>
      <c r="Q47" s="17">
        <f>AVERAGE(C25:C29)</f>
        <v>-366.72</v>
      </c>
      <c r="R47" t="s" s="46">
        <f>R46</f>
        <v>69</v>
      </c>
      <c r="S47" t="s" s="46">
        <v>74</v>
      </c>
      <c r="T47" s="22">
        <f>Q47/M39</f>
        <v>-0.041486160599105</v>
      </c>
      <c r="U47" t="s" s="46">
        <f>U42</f>
        <v>64</v>
      </c>
      <c r="V47" s="20"/>
    </row>
    <row r="48" ht="44.05" customHeight="1">
      <c r="K48" s="29"/>
      <c r="L48" t="s" s="45">
        <v>88</v>
      </c>
      <c r="M48" t="s" s="46">
        <v>78</v>
      </c>
      <c r="N48" s="17">
        <f>MAX(F3:F29)</f>
        <v>60</v>
      </c>
      <c r="O48" t="s" s="46">
        <f>R47</f>
        <v>69</v>
      </c>
      <c r="P48" t="s" s="46">
        <v>79</v>
      </c>
      <c r="Q48" s="48">
        <f>$A4</f>
        <v>1996</v>
      </c>
      <c r="R48" s="20"/>
      <c r="S48" s="20"/>
      <c r="T48" s="20"/>
      <c r="U48" s="20"/>
      <c r="V48" s="20"/>
    </row>
    <row r="49" ht="32.05" customHeight="1">
      <c r="K49" s="29"/>
      <c r="L49" t="s" s="45">
        <v>80</v>
      </c>
      <c r="M49" t="s" s="46">
        <f>M47</f>
        <v>86</v>
      </c>
      <c r="N49" t="s" s="46">
        <v>81</v>
      </c>
      <c r="O49" t="s" s="46">
        <v>89</v>
      </c>
      <c r="P49" t="s" s="46">
        <f>IF(R49&lt;N48,"down","up")</f>
        <v>83</v>
      </c>
      <c r="Q49" t="s" s="46">
        <v>84</v>
      </c>
      <c r="R49" s="17">
        <f>F29</f>
        <v>-3754.6</v>
      </c>
      <c r="S49" t="s" s="46">
        <f>R47</f>
        <v>69</v>
      </c>
      <c r="T49" s="20"/>
      <c r="U49" s="20"/>
      <c r="V49" s="20"/>
    </row>
    <row r="50" ht="20.05" customHeight="1">
      <c r="K50" s="29"/>
      <c r="L50" t="s" s="45">
        <v>90</v>
      </c>
      <c r="M50" s="17">
        <f>R54</f>
        <v>-3751.8</v>
      </c>
      <c r="N50" t="s" s="46">
        <f>S49</f>
        <v>69</v>
      </c>
      <c r="O50" t="s" s="46">
        <f>IF(M50&gt;0,"raised","paid")</f>
        <v>85</v>
      </c>
      <c r="P50" s="20"/>
      <c r="Q50" s="20"/>
      <c r="R50" s="20"/>
      <c r="S50" s="20"/>
      <c r="T50" s="20"/>
      <c r="U50" s="20"/>
      <c r="V50" s="20"/>
    </row>
    <row r="51" ht="32.05" customHeight="1">
      <c r="K51" s="29"/>
      <c r="L51" t="s" s="45">
        <f>L46</f>
        <v>57</v>
      </c>
      <c r="M51" t="s" s="46">
        <v>71</v>
      </c>
      <c r="N51" t="s" s="46">
        <f>IF(Q51&gt;0,"raised","paid")</f>
        <v>85</v>
      </c>
      <c r="O51" t="s" s="46">
        <v>91</v>
      </c>
      <c r="P51" t="s" s="46">
        <f>P46</f>
        <v>73</v>
      </c>
      <c r="Q51" s="17">
        <f>AVERAGE(D3:D29)</f>
        <v>-138.955555555556</v>
      </c>
      <c r="R51" t="s" s="46">
        <f>R46</f>
        <v>69</v>
      </c>
      <c r="S51" t="s" s="46">
        <f>S46</f>
        <v>74</v>
      </c>
      <c r="T51" s="22">
        <f>Q51/M39</f>
        <v>-0.0157197112072307</v>
      </c>
      <c r="U51" t="s" s="46">
        <f>U46</f>
        <v>64</v>
      </c>
      <c r="V51" s="20"/>
    </row>
    <row r="52" ht="32.05" customHeight="1">
      <c r="K52" s="29"/>
      <c r="L52" t="s" s="45">
        <v>75</v>
      </c>
      <c r="M52" t="s" s="46">
        <f>O51</f>
        <v>91</v>
      </c>
      <c r="N52" t="s" s="46">
        <v>87</v>
      </c>
      <c r="O52" t="s" s="46">
        <f>IF(Q52&gt;0,"raised","paid")</f>
        <v>85</v>
      </c>
      <c r="P52" t="s" s="46">
        <v>73</v>
      </c>
      <c r="Q52" s="17">
        <f>AVERAGE(D25:D29)</f>
        <v>-360.56</v>
      </c>
      <c r="R52" t="s" s="46">
        <f>R51</f>
        <v>69</v>
      </c>
      <c r="S52" t="s" s="46">
        <v>74</v>
      </c>
      <c r="T52" s="22">
        <f>Q52/M39</f>
        <v>-0.040789294463387</v>
      </c>
      <c r="U52" t="s" s="46">
        <f>U47</f>
        <v>64</v>
      </c>
      <c r="V52" s="20"/>
    </row>
    <row r="53" ht="44.05" customHeight="1">
      <c r="K53" s="29"/>
      <c r="L53" t="s" s="45">
        <v>92</v>
      </c>
      <c r="M53" t="s" s="46">
        <v>78</v>
      </c>
      <c r="N53" s="17">
        <f>MAX(G3:G29)</f>
        <v>109</v>
      </c>
      <c r="O53" t="s" s="46">
        <f>R52</f>
        <v>69</v>
      </c>
      <c r="P53" t="s" s="46">
        <v>79</v>
      </c>
      <c r="Q53" s="48">
        <f>$A8</f>
        <v>2000</v>
      </c>
      <c r="R53" s="20"/>
      <c r="S53" s="20"/>
      <c r="T53" s="20"/>
      <c r="U53" s="20"/>
      <c r="V53" s="20"/>
    </row>
    <row r="54" ht="44.05" customHeight="1">
      <c r="K54" s="29"/>
      <c r="L54" t="s" s="45">
        <v>80</v>
      </c>
      <c r="M54" t="s" s="46">
        <f>M52</f>
        <v>91</v>
      </c>
      <c r="N54" t="s" s="46">
        <v>81</v>
      </c>
      <c r="O54" t="s" s="46">
        <v>89</v>
      </c>
      <c r="P54" t="s" s="46">
        <f>IF(R54&lt;N53,"down","up")</f>
        <v>83</v>
      </c>
      <c r="Q54" t="s" s="46">
        <v>84</v>
      </c>
      <c r="R54" s="48">
        <f>G29</f>
        <v>-3751.8</v>
      </c>
      <c r="S54" t="s" s="46">
        <f>R52</f>
        <v>69</v>
      </c>
      <c r="T54" s="22">
        <f>AVERAGE(D24:D29)/M39</f>
        <v>-0.0430978520839851</v>
      </c>
      <c r="U54" t="s" s="46">
        <f>U52</f>
        <v>64</v>
      </c>
      <c r="V54" t="s" s="46">
        <v>65</v>
      </c>
    </row>
  </sheetData>
  <mergeCells count="2">
    <mergeCell ref="A1:J1"/>
    <mergeCell ref="K32:V3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