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" sheetId="3" r:id="rId6"/>
    <sheet name="Balance sheet" sheetId="4" r:id="rId7"/>
    <sheet name="Share price" sheetId="5" r:id="rId8"/>
    <sheet name="Capital" sheetId="6" r:id="rId9"/>
  </sheets>
</workbook>
</file>

<file path=xl/sharedStrings.xml><?xml version="1.0" encoding="utf-8"?>
<sst xmlns="http://schemas.openxmlformats.org/spreadsheetml/2006/main" uniqueCount="92">
  <si>
    <t>Financial model</t>
  </si>
  <si>
    <t>Rpbn</t>
  </si>
  <si>
    <t>4Q 2022</t>
  </si>
  <si>
    <t>Cashflow</t>
  </si>
  <si>
    <t>Growth</t>
  </si>
  <si>
    <t>Sales</t>
  </si>
  <si>
    <t>Cost ratio</t>
  </si>
  <si>
    <t>Cash costs</t>
  </si>
  <si>
    <t xml:space="preserve">Operating </t>
  </si>
  <si>
    <t>Investment</t>
  </si>
  <si>
    <t>Finance</t>
  </si>
  <si>
    <t xml:space="preserve">Liabilities </t>
  </si>
  <si>
    <t xml:space="preserve">Revolver </t>
  </si>
  <si>
    <t xml:space="preserve">Payout </t>
  </si>
  <si>
    <t>Equity</t>
  </si>
  <si>
    <t xml:space="preserve">Before revolver </t>
  </si>
  <si>
    <t>Beginning</t>
  </si>
  <si>
    <t>Change</t>
  </si>
  <si>
    <t>Ending</t>
  </si>
  <si>
    <t>Profit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</si>
  <si>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</si>
  <si>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</si>
  <si>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</si>
  <si>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</si>
  <si>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</si>
  <si>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</si>
  <si>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</si>
  <si>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</si>
  <si>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</si>
  <si>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</si>
  <si>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</si>
  <si>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</si>
  <si>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</si>
  <si>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>Yield</t>
  </si>
  <si>
    <t xml:space="preserve">Payback </t>
  </si>
  <si>
    <t xml:space="preserve">Forecast </t>
  </si>
  <si>
    <t>Value</t>
  </si>
  <si>
    <t>Shares</t>
  </si>
  <si>
    <t>Target</t>
  </si>
  <si>
    <t xml:space="preserve">Current </t>
  </si>
  <si>
    <t>V target</t>
  </si>
  <si>
    <t xml:space="preserve">12 month growth </t>
  </si>
  <si>
    <t xml:space="preserve">Sales v forecast </t>
  </si>
  <si>
    <t xml:space="preserve">Profit </t>
  </si>
  <si>
    <t xml:space="preserve">Sales growth </t>
  </si>
  <si>
    <t xml:space="preserve">Cost ratio </t>
  </si>
  <si>
    <t>Receipts</t>
  </si>
  <si>
    <t xml:space="preserve">Investment </t>
  </si>
  <si>
    <t xml:space="preserve">Free cashflow </t>
  </si>
  <si>
    <t>Cash</t>
  </si>
  <si>
    <t>Assets</t>
  </si>
  <si>
    <t xml:space="preserve">Other assets </t>
  </si>
  <si>
    <t>Check</t>
  </si>
  <si>
    <t>Net cash (debt)</t>
  </si>
  <si>
    <t>Share price</t>
  </si>
  <si>
    <t>SMRA</t>
  </si>
  <si>
    <t xml:space="preserve">Previous </t>
  </si>
  <si>
    <t>Capital</t>
  </si>
  <si>
    <t>Total</t>
  </si>
  <si>
    <t>Table 1</t>
  </si>
  <si>
    <t>Market value</t>
  </si>
  <si>
    <t xml:space="preserve">capital history </t>
  </si>
  <si>
    <t>of market value</t>
  </si>
  <si>
    <t>paid in 1 year.</t>
  </si>
  <si>
    <t xml:space="preserve">Start date </t>
  </si>
  <si>
    <t xml:space="preserve">Number of quarters </t>
  </si>
  <si>
    <t>Market value Rpbn</t>
  </si>
  <si>
    <t xml:space="preserve">billion rupiah </t>
  </si>
  <si>
    <t>raised</t>
  </si>
  <si>
    <t xml:space="preserve">has </t>
  </si>
  <si>
    <t xml:space="preserve">liabilities </t>
  </si>
  <si>
    <t xml:space="preserve">by an average </t>
  </si>
  <si>
    <t>every year</t>
  </si>
  <si>
    <t xml:space="preserve">In the last 5 years </t>
  </si>
  <si>
    <t>were</t>
  </si>
  <si>
    <t>paid</t>
  </si>
  <si>
    <t xml:space="preserve">The peak in cumulative liabilities </t>
  </si>
  <si>
    <t xml:space="preserve">was </t>
  </si>
  <si>
    <t xml:space="preserve">in </t>
  </si>
  <si>
    <t xml:space="preserve">As of the latest quarter </t>
  </si>
  <si>
    <t xml:space="preserve">cumulative </t>
  </si>
  <si>
    <t>are</t>
  </si>
  <si>
    <t>down</t>
  </si>
  <si>
    <t>to</t>
  </si>
  <si>
    <t xml:space="preserve">equity </t>
  </si>
  <si>
    <t>was</t>
  </si>
  <si>
    <t xml:space="preserve">The peak in cumulative equity </t>
  </si>
  <si>
    <t>is</t>
  </si>
  <si>
    <t>up</t>
  </si>
  <si>
    <t xml:space="preserve">Total capital </t>
  </si>
  <si>
    <t xml:space="preserve">total capital </t>
  </si>
  <si>
    <t xml:space="preserve">The peak in cumulative total capital 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</si>
</sst>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#,##0%"/>
    <numFmt numFmtId="60" formatCode="#,##0.0"/>
    <numFmt numFmtId="61" formatCode="[$IDR]0"/>
    <numFmt numFmtId="62" formatCode="mmm d, yyyy"/>
  </numFmts>
  <fonts count="7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0"/>
      <color indexed="8"/>
      <name val="Arial"/>
    </font>
    <font>
      <sz val="12"/>
      <color indexed="8"/>
      <name val="Helvetica"/>
    </font>
    <font>
      <b val="1"/>
      <sz val="22"/>
      <color indexed="8"/>
      <name val="Helvetica Neue"/>
    </font>
    <font>
      <b val="1"/>
      <sz val="22"/>
      <color indexed="16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1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2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60" fontId="0" borderId="6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6" applyNumberFormat="1" applyFont="1" applyFill="0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0" fontId="0" borderId="4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0" fontId="0" borderId="7" applyNumberFormat="0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49" fontId="2" fillId="2" borderId="1" applyNumberFormat="1" applyFont="1" applyFill="1" applyBorder="1" applyAlignment="1" applyProtection="0">
      <alignment vertical="top" wrapText="1"/>
    </xf>
    <xf numFmtId="0" fontId="2" fillId="4" borderId="8" applyNumberFormat="1" applyFont="1" applyFill="1" applyBorder="1" applyAlignment="1" applyProtection="0">
      <alignment vertical="top" wrapText="1"/>
    </xf>
    <xf numFmtId="0" fontId="0" borderId="9" applyNumberFormat="1" applyFont="1" applyFill="0" applyBorder="1" applyAlignment="1" applyProtection="0">
      <alignment vertical="top" wrapText="1"/>
    </xf>
    <xf numFmtId="0" fontId="0" borderId="10" applyNumberFormat="0" applyFont="1" applyFill="0" applyBorder="1" applyAlignment="1" applyProtection="0">
      <alignment vertical="top" wrapText="1"/>
    </xf>
    <xf numFmtId="0" fontId="2" fillId="4" borderId="8" applyNumberFormat="0" applyFont="1" applyFill="1" applyBorder="1" applyAlignment="1" applyProtection="0">
      <alignment vertical="top" wrapText="1"/>
    </xf>
    <xf numFmtId="3" fontId="0" borderId="9" applyNumberFormat="1" applyFont="1" applyFill="0" applyBorder="1" applyAlignment="1" applyProtection="0">
      <alignment vertical="top" wrapText="1"/>
    </xf>
    <xf numFmtId="3" fontId="3" borderId="6" applyNumberFormat="1" applyFont="1" applyFill="0" applyBorder="1" applyAlignment="1" applyProtection="0">
      <alignment horizontal="right" vertical="center" wrapText="1" readingOrder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0" applyFont="1" applyFill="1" applyBorder="1" applyAlignment="1" applyProtection="0">
      <alignment vertical="top" wrapText="1"/>
    </xf>
    <xf numFmtId="49" fontId="0" borderId="3" applyNumberFormat="1" applyFont="1" applyFill="0" applyBorder="1" applyAlignment="1" applyProtection="0">
      <alignment vertical="top" wrapText="1"/>
    </xf>
    <xf numFmtId="61" fontId="0" borderId="4" applyNumberFormat="1" applyFont="1" applyFill="0" applyBorder="1" applyAlignment="1" applyProtection="0">
      <alignment vertical="top" wrapText="1"/>
    </xf>
    <xf numFmtId="49" fontId="0" borderId="6" applyNumberFormat="1" applyFont="1" applyFill="0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  <xf numFmtId="62" fontId="0" borderId="6" applyNumberFormat="1" applyFont="1" applyFill="0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b8b8b8"/>
      <rgbColor rgb="ffffffff"/>
      <rgbColor rgb="ffed220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autoTitleDeleted val="1"/>
    <c:plotArea>
      <c:layout>
        <c:manualLayout>
          <c:layoutTarget val="inner"/>
          <c:xMode val="edge"/>
          <c:yMode val="edge"/>
          <c:x val="0.146458"/>
          <c:y val="0.0446026"/>
          <c:w val="0.844913"/>
          <c:h val="0.881835"/>
        </c:manualLayout>
      </c:layout>
      <c:lineChart>
        <c:grouping val="standard"/>
        <c:varyColors val="0"/>
        <c:ser>
          <c:idx val="0"/>
          <c:order val="0"/>
          <c:tx>
            <c:strRef>
              <c:f>'Capital'!$E$2</c:f>
              <c:strCache>
                <c:ptCount val="1"/>
                <c:pt idx="0">
                  <c:v>Liabilities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1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'Capital'!$A$3:$A$16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'Capital'!$E$3:$E$16</c:f>
              <c:numCache>
                <c:ptCount val="14"/>
                <c:pt idx="0">
                  <c:v>508.000000</c:v>
                </c:pt>
                <c:pt idx="1">
                  <c:v>349.000000</c:v>
                </c:pt>
                <c:pt idx="2">
                  <c:v>116.000000</c:v>
                </c:pt>
                <c:pt idx="3">
                  <c:v>463.000000</c:v>
                </c:pt>
                <c:pt idx="4">
                  <c:v>450.000000</c:v>
                </c:pt>
                <c:pt idx="5">
                  <c:v>1806.000000</c:v>
                </c:pt>
                <c:pt idx="6">
                  <c:v>3726.000000</c:v>
                </c:pt>
                <c:pt idx="7">
                  <c:v>3926.000000</c:v>
                </c:pt>
                <c:pt idx="8">
                  <c:v>5184.000000</c:v>
                </c:pt>
                <c:pt idx="9">
                  <c:v>5763.000000</c:v>
                </c:pt>
                <c:pt idx="10">
                  <c:v>6272.000000</c:v>
                </c:pt>
                <c:pt idx="11">
                  <c:v>6733.000000</c:v>
                </c:pt>
                <c:pt idx="12">
                  <c:v>7099.000000</c:v>
                </c:pt>
                <c:pt idx="13">
                  <c:v>4679.000000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'Capital'!$F$2</c:f>
              <c:strCache>
                <c:ptCount val="1"/>
                <c:pt idx="0">
                  <c:v>Equity 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3"/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'Capital'!$A$3:$A$16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'Capital'!$F$3:$F$16</c:f>
              <c:numCache>
                <c:ptCount val="14"/>
                <c:pt idx="0">
                  <c:v>-30.000000</c:v>
                </c:pt>
                <c:pt idx="1">
                  <c:v>-49.000000</c:v>
                </c:pt>
                <c:pt idx="2">
                  <c:v>136.000000</c:v>
                </c:pt>
                <c:pt idx="3">
                  <c:v>67.000000</c:v>
                </c:pt>
                <c:pt idx="4">
                  <c:v>437.000000</c:v>
                </c:pt>
                <c:pt idx="5">
                  <c:v>127.000000</c:v>
                </c:pt>
                <c:pt idx="6">
                  <c:v>-144.000000</c:v>
                </c:pt>
                <c:pt idx="7">
                  <c:v>-272.000000</c:v>
                </c:pt>
                <c:pt idx="8">
                  <c:v>-232.000000</c:v>
                </c:pt>
                <c:pt idx="9">
                  <c:v>-304.000000</c:v>
                </c:pt>
                <c:pt idx="10">
                  <c:v>-219.000000</c:v>
                </c:pt>
                <c:pt idx="11">
                  <c:v>-200.000000</c:v>
                </c:pt>
                <c:pt idx="12">
                  <c:v>-181.000000</c:v>
                </c:pt>
                <c:pt idx="13">
                  <c:v>1493.000000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'Capital'!$G$2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FFFFFF"/>
            </a:solidFill>
            <a:ln w="50800" cap="flat">
              <a:solidFill>
                <a:schemeClr val="accent4">
                  <a:hueOff val="-461056"/>
                  <a:satOff val="4338"/>
                  <a:lumOff val="-10225"/>
                </a:schemeClr>
              </a:solidFill>
              <a:prstDash val="solid"/>
              <a:miter lim="400000"/>
            </a:ln>
            <a:effectLst/>
          </c:spPr>
          <c:marker>
            <c:symbol val="none"/>
            <c:size val="4"/>
            <c:spPr>
              <a:solidFill>
                <a:srgbClr val="FFFFFF"/>
              </a:solidFill>
              <a:ln w="50800" cap="flat">
                <a:solidFill>
                  <a:schemeClr val="accent4">
                    <a:hueOff val="-461056"/>
                    <a:satOff val="4338"/>
                    <a:lumOff val="-10225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"/>
                  </a:defRPr>
                </a:pPr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'Capital'!$A$3:$A$16</c:f>
              <c:strCache>
                <c:ptCount val="14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  <c:pt idx="13">
                  <c:v>2021</c:v>
                </c:pt>
              </c:strCache>
            </c:strRef>
          </c:cat>
          <c:val>
            <c:numRef>
              <c:f>'Capital'!$G$3:$G$16</c:f>
              <c:numCache>
                <c:ptCount val="14"/>
                <c:pt idx="0">
                  <c:v>478.000000</c:v>
                </c:pt>
                <c:pt idx="1">
                  <c:v>300.000000</c:v>
                </c:pt>
                <c:pt idx="2">
                  <c:v>252.000000</c:v>
                </c:pt>
                <c:pt idx="3">
                  <c:v>530.000000</c:v>
                </c:pt>
                <c:pt idx="4">
                  <c:v>887.000000</c:v>
                </c:pt>
                <c:pt idx="5">
                  <c:v>1933.000000</c:v>
                </c:pt>
                <c:pt idx="6">
                  <c:v>3582.000000</c:v>
                </c:pt>
                <c:pt idx="7">
                  <c:v>3654.000000</c:v>
                </c:pt>
                <c:pt idx="8">
                  <c:v>4952.000000</c:v>
                </c:pt>
                <c:pt idx="9">
                  <c:v>5459.000000</c:v>
                </c:pt>
                <c:pt idx="10">
                  <c:v>6053.000000</c:v>
                </c:pt>
                <c:pt idx="11">
                  <c:v>6533.000000</c:v>
                </c:pt>
                <c:pt idx="12">
                  <c:v>6918.000000</c:v>
                </c:pt>
                <c:pt idx="13">
                  <c:v>6172.000000</c:v>
                </c:pt>
              </c:numCache>
            </c:numRef>
          </c:val>
          <c:smooth val="0"/>
        </c:ser>
        <c:marker val="1"/>
        <c:axId val="2094734552"/>
        <c:axId val="2094734553"/>
      </c:line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auto val="1"/>
        <c:lblAlgn val="ctr"/>
        <c:noMultiLvlLbl val="1"/>
      </c:cat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midCat"/>
        <c:majorUnit val="2500"/>
        <c:minorUnit val="1250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172889"/>
          <c:y val="0.0610046"/>
          <c:w val="0.28821"/>
          <c:h val="0.158808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1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503734</xdr:colOff>
      <xdr:row>2</xdr:row>
      <xdr:rowOff>125</xdr:rowOff>
    </xdr:from>
    <xdr:to>
      <xdr:col>13</xdr:col>
      <xdr:colOff>827066</xdr:colOff>
      <xdr:row>48</xdr:row>
      <xdr:rowOff>200314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923334" y="853565"/>
          <a:ext cx="9035533" cy="1194324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213310</xdr:colOff>
      <xdr:row>23</xdr:row>
      <xdr:rowOff>215736</xdr:rowOff>
    </xdr:from>
    <xdr:to>
      <xdr:col>3</xdr:col>
      <xdr:colOff>850024</xdr:colOff>
      <xdr:row>32</xdr:row>
      <xdr:rowOff>41936</xdr:rowOff>
    </xdr:to>
    <xdr:graphicFrame>
      <xdr:nvGraphicFramePr>
        <xdr:cNvPr id="4" name="2D Line Chart"/>
        <xdr:cNvGraphicFramePr/>
      </xdr:nvGraphicFramePr>
      <xdr:xfrm>
        <a:off x="213310" y="6426036"/>
        <a:ext cx="3532315" cy="3337116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124670</xdr:colOff>
      <xdr:row>21</xdr:row>
      <xdr:rowOff>26576</xdr:rowOff>
    </xdr:from>
    <xdr:to>
      <xdr:col>4</xdr:col>
      <xdr:colOff>460318</xdr:colOff>
      <xdr:row>24</xdr:row>
      <xdr:rowOff>6463</xdr:rowOff>
    </xdr:to>
    <xdr:sp>
      <xdr:nvSpPr>
        <xdr:cNvPr id="5" name="SMRA FINALLY STARTED TO PAYBACK"/>
        <xdr:cNvSpPr txBox="1"/>
      </xdr:nvSpPr>
      <xdr:spPr>
        <a:xfrm>
          <a:off x="124670" y="5727606"/>
          <a:ext cx="4196449" cy="896193"/>
        </a:xfrm>
        <a:prstGeom prst="rect">
          <a:avLst/>
        </a:prstGeom>
        <a:noFill/>
        <a:ln w="12700" cap="flat">
          <a:noFill/>
          <a:miter lim="400000"/>
        </a:ln>
        <a:effectLst/>
        <a:extLst>
          <a:ext uri="{C572A759-6A51-4108-AA02-DFA0A04FC94B}">
            <ma14:wrappingTextBoxFlag xmlns:ma14="http://schemas.microsoft.com/office/mac/drawingml/2011/main" val="1"/>
          </a:ext>
        </a:extLst>
      </xdr:spPr>
      <xdr:txBody>
        <a:bodyPr wrap="square" lIns="50800" tIns="50800" rIns="50800" bIns="50800" numCol="1" anchor="t">
          <a:spAutoFit/>
        </a:bodyPr>
        <a:lstStyle/>
        <a:p>
          <a:pPr marL="0" marR="0" indent="0" algn="ctr" defTabSz="457200" latinLnBrk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b="1" baseline="0" cap="none" i="0" spc="0" strike="noStrike" sz="22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defRPr>
          </a:pPr>
          <a:r>
            <a:rPr b="1" baseline="0" cap="none" i="0" spc="0" strike="noStrike" sz="22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SMRA FINALLY </a:t>
          </a:r>
          <a:r>
            <a:rPr b="1" baseline="0" cap="none" i="0" spc="0" strike="noStrike" sz="2200" u="none">
              <a:solidFill>
                <a:schemeClr val="accent5">
                  <a:hueOff val="-82419"/>
                  <a:satOff val="-9513"/>
                  <a:lumOff val="-16343"/>
                </a:schemeClr>
              </a:solidFill>
              <a:uFillTx/>
              <a:latin typeface="+mn-lt"/>
              <a:ea typeface="+mn-ea"/>
              <a:cs typeface="+mn-cs"/>
              <a:sym typeface="Helvetica Neue"/>
            </a:rPr>
            <a:t>STARTED</a:t>
          </a:r>
          <a:r>
            <a:rPr b="1" baseline="0" cap="none" i="0" spc="0" strike="noStrike" sz="2200" u="none">
              <a:solidFill>
                <a:srgbClr val="000000"/>
              </a:solidFill>
              <a:uFillTx/>
              <a:latin typeface="+mn-lt"/>
              <a:ea typeface="+mn-ea"/>
              <a:cs typeface="+mn-cs"/>
              <a:sym typeface="Helvetica Neue"/>
            </a:rPr>
            <a:t> TO PAYBACK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8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7.91406" style="1" customWidth="1"/>
    <col min="2" max="2" width="14.7656" style="1" customWidth="1"/>
    <col min="3" max="6" width="8.88281" style="1" customWidth="1"/>
    <col min="7" max="16384" width="16.3516" style="1" customWidth="1"/>
  </cols>
  <sheetData>
    <row r="1" ht="39.55" customHeight="1"/>
    <row r="2" ht="27.65" customHeight="1">
      <c r="B2" t="s" s="2">
        <v>0</v>
      </c>
      <c r="C2" s="2"/>
      <c r="D2" s="2"/>
      <c r="E2" s="2"/>
      <c r="F2" s="2"/>
    </row>
    <row r="3" ht="20.05" customHeight="1">
      <c r="B3" t="s" s="3">
        <v>1</v>
      </c>
      <c r="C3" s="4"/>
      <c r="D3" s="4"/>
      <c r="E3" t="s" s="5">
        <v>2</v>
      </c>
      <c r="F3" s="4"/>
    </row>
    <row r="4" ht="20.3" customHeight="1">
      <c r="B4" t="s" s="6">
        <v>3</v>
      </c>
      <c r="C4" s="7">
        <f>AVERAGE('Sales'!G29:G32)</f>
        <v>0.104503250699866</v>
      </c>
      <c r="D4" s="8"/>
      <c r="E4" s="8"/>
      <c r="F4" s="9">
        <f>AVERAGE(C5:F5)</f>
        <v>0.0375</v>
      </c>
    </row>
    <row r="5" ht="20.1" customHeight="1">
      <c r="B5" t="s" s="10">
        <v>4</v>
      </c>
      <c r="C5" s="11">
        <v>0.15</v>
      </c>
      <c r="D5" s="12">
        <v>-0.05</v>
      </c>
      <c r="E5" s="12">
        <v>0.2</v>
      </c>
      <c r="F5" s="12">
        <v>-0.15</v>
      </c>
    </row>
    <row r="6" ht="20.1" customHeight="1">
      <c r="B6" t="s" s="10">
        <v>5</v>
      </c>
      <c r="C6" s="13">
        <f>'Sales'!C32*(1+C5)</f>
        <v>1690.5</v>
      </c>
      <c r="D6" s="14">
        <f>C6*(1+D5)</f>
        <v>1605.975</v>
      </c>
      <c r="E6" s="14">
        <f>D6*(1+E5)</f>
        <v>1927.17</v>
      </c>
      <c r="F6" s="14">
        <f>E6*(1+F5)</f>
        <v>1638.0945</v>
      </c>
    </row>
    <row r="7" ht="20.1" customHeight="1">
      <c r="B7" t="s" s="10">
        <v>6</v>
      </c>
      <c r="C7" s="15">
        <f>AVERAGE('Sales'!H32)</f>
        <v>-0.8</v>
      </c>
      <c r="D7" s="16">
        <f>C7</f>
        <v>-0.8</v>
      </c>
      <c r="E7" s="16">
        <f>D7</f>
        <v>-0.8</v>
      </c>
      <c r="F7" s="16">
        <f>E7</f>
        <v>-0.8</v>
      </c>
    </row>
    <row r="8" ht="20.1" customHeight="1">
      <c r="B8" t="s" s="10">
        <v>7</v>
      </c>
      <c r="C8" s="17">
        <f>C7*C6</f>
        <v>-1352.4</v>
      </c>
      <c r="D8" s="18">
        <f>D7*D6</f>
        <v>-1284.78</v>
      </c>
      <c r="E8" s="18">
        <f>E7*E6</f>
        <v>-1541.736</v>
      </c>
      <c r="F8" s="18">
        <f>F7*F6</f>
        <v>-1310.4756</v>
      </c>
    </row>
    <row r="9" ht="20.1" customHeight="1">
      <c r="B9" t="s" s="10">
        <v>8</v>
      </c>
      <c r="C9" s="17">
        <f>C6+C8</f>
        <v>338.1</v>
      </c>
      <c r="D9" s="18">
        <f>D6+D8</f>
        <v>321.195</v>
      </c>
      <c r="E9" s="18">
        <f>E6+E8</f>
        <v>385.434</v>
      </c>
      <c r="F9" s="18">
        <f>F6+F8</f>
        <v>327.6189</v>
      </c>
    </row>
    <row r="10" ht="20.05" customHeight="1">
      <c r="B10" t="s" s="10">
        <v>9</v>
      </c>
      <c r="C10" s="17">
        <f>AVERAGE('Cashflow'!E32)</f>
        <v>-89.2</v>
      </c>
      <c r="D10" s="18">
        <f>C10</f>
        <v>-89.2</v>
      </c>
      <c r="E10" s="18">
        <f>D10</f>
        <v>-89.2</v>
      </c>
      <c r="F10" s="18">
        <f>E10</f>
        <v>-89.2</v>
      </c>
    </row>
    <row r="11" ht="20.1" customHeight="1">
      <c r="B11" t="s" s="10">
        <v>10</v>
      </c>
      <c r="C11" s="17">
        <f>C12+C15+C13</f>
        <v>-248.9</v>
      </c>
      <c r="D11" s="18">
        <f>D12+D15+D13</f>
        <v>-231.995</v>
      </c>
      <c r="E11" s="18">
        <f>E12+E15+E13</f>
        <v>-296.234</v>
      </c>
      <c r="F11" s="18">
        <f>F12+F15+F13</f>
        <v>-238.4189</v>
      </c>
    </row>
    <row r="12" ht="20.1" customHeight="1">
      <c r="B12" t="s" s="10">
        <v>11</v>
      </c>
      <c r="C12" s="17">
        <f>-('Balance sheet'!G32)/20</f>
        <v>-790.5</v>
      </c>
      <c r="D12" s="18">
        <f>-C27/20</f>
        <v>-750.975</v>
      </c>
      <c r="E12" s="18">
        <f>-D27/20</f>
        <v>-713.42625</v>
      </c>
      <c r="F12" s="18">
        <f>-E27/20</f>
        <v>-677.7549375</v>
      </c>
    </row>
    <row r="13" ht="20.1" customHeight="1">
      <c r="B13" t="s" s="10">
        <v>12</v>
      </c>
      <c r="C13" s="17">
        <f>-MIN(0,C16)</f>
        <v>569.61</v>
      </c>
      <c r="D13" s="18">
        <f>-MIN(C28,D16)</f>
        <v>545.2995</v>
      </c>
      <c r="E13" s="18">
        <f>-MIN(D28,E16)</f>
        <v>449.93565</v>
      </c>
      <c r="F13" s="18">
        <f>-MIN(E28,F16)</f>
        <v>466.2979275</v>
      </c>
    </row>
    <row r="14" ht="20.1" customHeight="1">
      <c r="B14" t="s" s="10">
        <v>13</v>
      </c>
      <c r="C14" s="19">
        <v>0.1</v>
      </c>
      <c r="D14" s="18"/>
      <c r="E14" s="18"/>
      <c r="F14" s="18"/>
    </row>
    <row r="15" ht="20.1" customHeight="1">
      <c r="B15" t="s" s="10">
        <v>14</v>
      </c>
      <c r="C15" s="17">
        <f>IF(C22&gt;0,-C22*$C$14,0)</f>
        <v>-28.01</v>
      </c>
      <c r="D15" s="18">
        <f>IF(D22&gt;0,-D22*$C$14,0)</f>
        <v>-26.3195</v>
      </c>
      <c r="E15" s="18">
        <f>IF(E22&gt;0,-E22*$C$14,0)</f>
        <v>-32.7434</v>
      </c>
      <c r="F15" s="18">
        <f>IF(F22&gt;0,-F22*$C$14,0)</f>
        <v>-26.96189</v>
      </c>
    </row>
    <row r="16" ht="20.05" customHeight="1">
      <c r="B16" t="s" s="10">
        <v>15</v>
      </c>
      <c r="C16" s="17">
        <f>C9+C10+C12+C15</f>
        <v>-569.61</v>
      </c>
      <c r="D16" s="18">
        <f>D9+D10+D12+D15</f>
        <v>-545.2995</v>
      </c>
      <c r="E16" s="18">
        <f>E9+E10+E12+E15</f>
        <v>-449.93565</v>
      </c>
      <c r="F16" s="18">
        <f>F9+F10+F12+F15</f>
        <v>-466.2979275</v>
      </c>
    </row>
    <row r="17" ht="20.1" customHeight="1">
      <c r="B17" t="s" s="10">
        <v>16</v>
      </c>
      <c r="C17" s="17">
        <f>'Balance sheet'!C32</f>
        <v>3569.5</v>
      </c>
      <c r="D17" s="18">
        <f>C19</f>
        <v>3569.5</v>
      </c>
      <c r="E17" s="18">
        <f>D19</f>
        <v>3569.5</v>
      </c>
      <c r="F17" s="18">
        <f>E19</f>
        <v>3569.5</v>
      </c>
    </row>
    <row r="18" ht="20.1" customHeight="1">
      <c r="B18" t="s" s="10">
        <v>17</v>
      </c>
      <c r="C18" s="17">
        <f>C9+C10+C11</f>
        <v>0</v>
      </c>
      <c r="D18" s="18">
        <f>D9+D10+D11</f>
        <v>0</v>
      </c>
      <c r="E18" s="18">
        <f>E9+E10+E11</f>
        <v>0</v>
      </c>
      <c r="F18" s="18">
        <f>F9+F10+F11</f>
        <v>0</v>
      </c>
    </row>
    <row r="19" ht="20.1" customHeight="1">
      <c r="B19" t="s" s="10">
        <v>18</v>
      </c>
      <c r="C19" s="17">
        <f>C17+C18</f>
        <v>3569.5</v>
      </c>
      <c r="D19" s="18">
        <f>D17+D18</f>
        <v>3569.5</v>
      </c>
      <c r="E19" s="18">
        <f>E17+E18</f>
        <v>3569.5</v>
      </c>
      <c r="F19" s="18">
        <f>F17+F18</f>
        <v>3569.5</v>
      </c>
    </row>
    <row r="20" ht="20.1" customHeight="1">
      <c r="B20" t="s" s="20">
        <v>19</v>
      </c>
      <c r="C20" s="21"/>
      <c r="D20" s="22"/>
      <c r="E20" s="22"/>
      <c r="F20" s="18"/>
    </row>
    <row r="21" ht="20.1" customHeight="1">
      <c r="B21" t="s" s="10">
        <v>20</v>
      </c>
      <c r="C21" s="17">
        <f>-AVERAGE('Sales'!E32)</f>
        <v>-58</v>
      </c>
      <c r="D21" s="18">
        <f>C21</f>
        <v>-58</v>
      </c>
      <c r="E21" s="18">
        <f>D21</f>
        <v>-58</v>
      </c>
      <c r="F21" s="18">
        <f>E21</f>
        <v>-58</v>
      </c>
    </row>
    <row r="22" ht="20.1" customHeight="1">
      <c r="B22" t="s" s="10">
        <v>21</v>
      </c>
      <c r="C22" s="17">
        <f>C6+C8+C21</f>
        <v>280.1</v>
      </c>
      <c r="D22" s="18">
        <f>D6+D8+D21</f>
        <v>263.195</v>
      </c>
      <c r="E22" s="18">
        <f>E6+E8+E21</f>
        <v>327.434</v>
      </c>
      <c r="F22" s="18">
        <f>F6+F8+F21</f>
        <v>269.6189</v>
      </c>
    </row>
    <row r="23" ht="20.1" customHeight="1">
      <c r="B23" t="s" s="20">
        <v>22</v>
      </c>
      <c r="C23" s="21"/>
      <c r="D23" s="22"/>
      <c r="E23" s="22"/>
      <c r="F23" s="18"/>
    </row>
    <row r="24" ht="20.1" customHeight="1">
      <c r="B24" t="s" s="10">
        <v>23</v>
      </c>
      <c r="C24" s="17">
        <f>'Balance sheet'!E32+'Balance sheet'!F32-C10</f>
        <v>26698.7</v>
      </c>
      <c r="D24" s="18">
        <f>C24-D10</f>
        <v>26787.9</v>
      </c>
      <c r="E24" s="18">
        <f>D24-E10</f>
        <v>26877.1</v>
      </c>
      <c r="F24" s="18">
        <f>E24-F10</f>
        <v>26966.3</v>
      </c>
    </row>
    <row r="25" ht="20.1" customHeight="1">
      <c r="B25" t="s" s="10">
        <v>24</v>
      </c>
      <c r="C25" s="17">
        <f>'Balance sheet'!F32-C21</f>
        <v>3013</v>
      </c>
      <c r="D25" s="18">
        <f>C25-D21</f>
        <v>3071</v>
      </c>
      <c r="E25" s="18">
        <f>D25-E21</f>
        <v>3129</v>
      </c>
      <c r="F25" s="18">
        <f>E25-F21</f>
        <v>3187</v>
      </c>
    </row>
    <row r="26" ht="20.1" customHeight="1">
      <c r="B26" t="s" s="10">
        <v>25</v>
      </c>
      <c r="C26" s="17">
        <f>C24-C25</f>
        <v>23685.7</v>
      </c>
      <c r="D26" s="18">
        <f>D24-D25</f>
        <v>23716.9</v>
      </c>
      <c r="E26" s="18">
        <f>E24-E25</f>
        <v>23748.1</v>
      </c>
      <c r="F26" s="18">
        <f>F24-F25</f>
        <v>23779.3</v>
      </c>
    </row>
    <row r="27" ht="20.1" customHeight="1">
      <c r="B27" t="s" s="10">
        <v>11</v>
      </c>
      <c r="C27" s="17">
        <f>'Balance sheet'!G32+C12</f>
        <v>15019.5</v>
      </c>
      <c r="D27" s="18">
        <f>C27+D12</f>
        <v>14268.525</v>
      </c>
      <c r="E27" s="18">
        <f>D27+E12</f>
        <v>13555.09875</v>
      </c>
      <c r="F27" s="18">
        <f>E27+F12</f>
        <v>12877.3438125</v>
      </c>
    </row>
    <row r="28" ht="20.1" customHeight="1">
      <c r="B28" t="s" s="10">
        <v>12</v>
      </c>
      <c r="C28" s="17">
        <f>C13</f>
        <v>569.61</v>
      </c>
      <c r="D28" s="18">
        <f>C28+D13</f>
        <v>1114.9095</v>
      </c>
      <c r="E28" s="18">
        <f>D28+E13</f>
        <v>1564.84515</v>
      </c>
      <c r="F28" s="18">
        <f>E28+F13</f>
        <v>2031.1430775</v>
      </c>
    </row>
    <row r="29" ht="20.1" customHeight="1">
      <c r="B29" t="s" s="10">
        <v>26</v>
      </c>
      <c r="C29" s="17">
        <f>'Balance sheet'!H32+C22+C15</f>
        <v>11666.09</v>
      </c>
      <c r="D29" s="18">
        <f>C29+D22+D15</f>
        <v>11902.9655</v>
      </c>
      <c r="E29" s="18">
        <f>D29+E22+E15</f>
        <v>12197.6561</v>
      </c>
      <c r="F29" s="18">
        <f>E29+F22+F15</f>
        <v>12440.31311</v>
      </c>
    </row>
    <row r="30" ht="20.1" customHeight="1">
      <c r="B30" t="s" s="10">
        <v>27</v>
      </c>
      <c r="C30" s="17">
        <f>C27+C28+C29-C19-C26</f>
        <v>0</v>
      </c>
      <c r="D30" s="18">
        <f>D27+D28+D29-D19-D26</f>
        <v>0</v>
      </c>
      <c r="E30" s="18">
        <f>E27+E28+E29-E19-E26</f>
        <v>0</v>
      </c>
      <c r="F30" s="18">
        <f>F27+F28+F29-F19-F26</f>
        <v>0</v>
      </c>
    </row>
    <row r="31" ht="20.1" customHeight="1">
      <c r="B31" t="s" s="10">
        <v>28</v>
      </c>
      <c r="C31" s="17">
        <f>C19-C27-C28</f>
        <v>-12019.61</v>
      </c>
      <c r="D31" s="18">
        <f>D19-D27-D28</f>
        <v>-11813.9345</v>
      </c>
      <c r="E31" s="18">
        <f>E19-E27-E28</f>
        <v>-11550.4439</v>
      </c>
      <c r="F31" s="18">
        <f>F19-F27-F28</f>
        <v>-11338.98689</v>
      </c>
    </row>
    <row r="32" ht="20.1" customHeight="1">
      <c r="B32" t="s" s="10">
        <v>29</v>
      </c>
      <c r="C32" s="17"/>
      <c r="D32" s="18"/>
      <c r="E32" s="18"/>
      <c r="F32" s="18"/>
    </row>
    <row r="33" ht="20.1" customHeight="1">
      <c r="B33" t="s" s="10">
        <v>30</v>
      </c>
      <c r="C33" s="17">
        <f>'Cashflow'!L32-C11</f>
        <v>-1438.2</v>
      </c>
      <c r="D33" s="18">
        <f>C33-D11</f>
        <v>-1206.205</v>
      </c>
      <c r="E33" s="18">
        <f>D33-E11</f>
        <v>-909.971</v>
      </c>
      <c r="F33" s="18">
        <f>E33-F11</f>
        <v>-671.5521</v>
      </c>
    </row>
    <row r="34" ht="20.1" customHeight="1">
      <c r="B34" t="s" s="10">
        <v>31</v>
      </c>
      <c r="C34" s="17"/>
      <c r="D34" s="18"/>
      <c r="E34" s="18"/>
      <c r="F34" s="18">
        <v>11721106259968</v>
      </c>
    </row>
    <row r="35" ht="20.1" customHeight="1">
      <c r="B35" t="s" s="10">
        <v>31</v>
      </c>
      <c r="C35" s="17"/>
      <c r="D35" s="18"/>
      <c r="E35" s="18"/>
      <c r="F35" s="18">
        <f>F34/1000000000</f>
        <v>11721.106259968</v>
      </c>
    </row>
    <row r="36" ht="20.1" customHeight="1">
      <c r="B36" t="s" s="10">
        <v>32</v>
      </c>
      <c r="C36" s="17"/>
      <c r="D36" s="18"/>
      <c r="E36" s="18"/>
      <c r="F36" s="23">
        <f>F35/(F19+F26)</f>
        <v>0.428578448047739</v>
      </c>
    </row>
    <row r="37" ht="20.1" customHeight="1">
      <c r="B37" t="s" s="10">
        <v>33</v>
      </c>
      <c r="C37" s="17"/>
      <c r="D37" s="18"/>
      <c r="E37" s="18"/>
      <c r="F37" s="16">
        <f>-(C15+D15+E15+F15)/F35</f>
        <v>0.00972901255826609</v>
      </c>
    </row>
    <row r="38" ht="20.1" customHeight="1">
      <c r="B38" t="s" s="10">
        <v>3</v>
      </c>
      <c r="C38" s="17"/>
      <c r="D38" s="18"/>
      <c r="E38" s="18"/>
      <c r="F38" s="18">
        <f>SUM(C9:F10)</f>
        <v>1015.5479</v>
      </c>
    </row>
    <row r="39" ht="20.1" customHeight="1">
      <c r="B39" t="s" s="10">
        <v>34</v>
      </c>
      <c r="C39" s="17"/>
      <c r="D39" s="18"/>
      <c r="E39" s="18"/>
      <c r="F39" s="18">
        <f>'Balance sheet'!E32/F38</f>
        <v>23.2923528274737</v>
      </c>
    </row>
    <row r="40" ht="20.1" customHeight="1">
      <c r="B40" t="s" s="10">
        <v>29</v>
      </c>
      <c r="C40" s="17"/>
      <c r="D40" s="18"/>
      <c r="E40" s="18"/>
      <c r="F40" s="18">
        <f>F35/F38</f>
        <v>11.5416577199047</v>
      </c>
    </row>
    <row r="41" ht="20.1" customHeight="1">
      <c r="B41" t="s" s="10">
        <v>35</v>
      </c>
      <c r="C41" s="17"/>
      <c r="D41" s="18"/>
      <c r="E41" s="18"/>
      <c r="F41" s="18">
        <v>19</v>
      </c>
    </row>
    <row r="42" ht="20.1" customHeight="1">
      <c r="B42" t="s" s="10">
        <v>36</v>
      </c>
      <c r="C42" s="17"/>
      <c r="D42" s="18"/>
      <c r="E42" s="18"/>
      <c r="F42" s="18">
        <f>F38*F41</f>
        <v>19295.4101</v>
      </c>
    </row>
    <row r="43" ht="20.1" customHeight="1">
      <c r="B43" t="s" s="10">
        <v>37</v>
      </c>
      <c r="C43" s="17"/>
      <c r="D43" s="18"/>
      <c r="E43" s="18"/>
      <c r="F43" s="18">
        <f>F35/F45</f>
        <v>16.5086003661521</v>
      </c>
    </row>
    <row r="44" ht="20.1" customHeight="1">
      <c r="B44" t="s" s="10">
        <v>38</v>
      </c>
      <c r="C44" s="17"/>
      <c r="D44" s="18"/>
      <c r="E44" s="18"/>
      <c r="F44" s="18">
        <f>F42/F43</f>
        <v>1168.809570286880</v>
      </c>
    </row>
    <row r="45" ht="20.1" customHeight="1">
      <c r="B45" t="s" s="10">
        <v>39</v>
      </c>
      <c r="C45" s="17"/>
      <c r="D45" s="18"/>
      <c r="E45" s="18"/>
      <c r="F45" s="18">
        <v>710</v>
      </c>
    </row>
    <row r="46" ht="20.1" customHeight="1">
      <c r="B46" t="s" s="10">
        <v>40</v>
      </c>
      <c r="C46" s="17"/>
      <c r="D46" s="18"/>
      <c r="E46" s="18"/>
      <c r="F46" s="16">
        <f>F44/F45-1</f>
        <v>0.646210662375887</v>
      </c>
    </row>
    <row r="47" ht="20.1" customHeight="1">
      <c r="B47" t="s" s="10">
        <v>41</v>
      </c>
      <c r="C47" s="17"/>
      <c r="D47" s="18"/>
      <c r="E47" s="18"/>
      <c r="F47" s="16">
        <f>'Sales'!C32/'Sales'!C28-1</f>
        <v>0.373061834485335</v>
      </c>
    </row>
    <row r="48" ht="20.1" customHeight="1">
      <c r="B48" t="s" s="10">
        <v>42</v>
      </c>
      <c r="C48" s="17"/>
      <c r="D48" s="18"/>
      <c r="E48" s="18"/>
      <c r="F48" s="16">
        <f>'Sales'!F35/'Sales'!E35-1</f>
        <v>0.018522342819325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J3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23438" style="24" customWidth="1"/>
    <col min="2" max="2" width="11.1719" style="24" customWidth="1"/>
    <col min="3" max="10" width="11.3047" style="24" customWidth="1"/>
    <col min="11" max="16384" width="16.3516" style="24" customWidth="1"/>
  </cols>
  <sheetData>
    <row r="1" ht="16.2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</row>
    <row r="3" ht="32.25" customHeight="1">
      <c r="B3" t="s" s="5">
        <v>1</v>
      </c>
      <c r="C3" t="s" s="5">
        <v>5</v>
      </c>
      <c r="D3" t="s" s="5">
        <v>35</v>
      </c>
      <c r="E3" t="s" s="5">
        <v>24</v>
      </c>
      <c r="F3" t="s" s="5">
        <v>43</v>
      </c>
      <c r="G3" t="s" s="5">
        <v>44</v>
      </c>
      <c r="H3" t="s" s="5">
        <v>45</v>
      </c>
      <c r="I3" t="s" s="5">
        <v>45</v>
      </c>
      <c r="J3" t="s" s="5">
        <v>35</v>
      </c>
    </row>
    <row r="4" ht="20.25" customHeight="1">
      <c r="B4" s="25">
        <v>2015</v>
      </c>
      <c r="C4" s="26">
        <v>946</v>
      </c>
      <c r="D4" s="27"/>
      <c r="E4" s="28">
        <v>59</v>
      </c>
      <c r="F4" s="28">
        <v>242</v>
      </c>
      <c r="G4" s="9"/>
      <c r="H4" s="29">
        <f>(E4+F4-C4)/C4</f>
        <v>-0.681818181818182</v>
      </c>
      <c r="I4" s="29"/>
      <c r="J4" s="29"/>
    </row>
    <row r="5" ht="20.05" customHeight="1">
      <c r="B5" s="30"/>
      <c r="C5" s="17">
        <v>1651</v>
      </c>
      <c r="D5" s="22"/>
      <c r="E5" s="18">
        <v>76</v>
      </c>
      <c r="F5" s="18">
        <v>283</v>
      </c>
      <c r="G5" s="16">
        <f>C5/C4-1</f>
        <v>0.745243128964059</v>
      </c>
      <c r="H5" s="16">
        <f>(E5+F5-C5)/C5</f>
        <v>-0.782556026650515</v>
      </c>
      <c r="I5" s="16"/>
      <c r="J5" s="16"/>
    </row>
    <row r="6" ht="20.05" customHeight="1">
      <c r="B6" s="30"/>
      <c r="C6" s="17">
        <v>1899</v>
      </c>
      <c r="D6" s="22"/>
      <c r="E6" s="18">
        <v>64</v>
      </c>
      <c r="F6" s="18">
        <v>446</v>
      </c>
      <c r="G6" s="16">
        <f>C6/C5-1</f>
        <v>0.150211992731678</v>
      </c>
      <c r="H6" s="16">
        <f>(E6+F6-C6)/C6</f>
        <v>-0.731437598736177</v>
      </c>
      <c r="I6" s="16"/>
      <c r="J6" s="16"/>
    </row>
    <row r="7" ht="20.05" customHeight="1">
      <c r="B7" s="30"/>
      <c r="C7" s="17">
        <v>1128</v>
      </c>
      <c r="D7" s="22"/>
      <c r="E7" s="18">
        <v>42</v>
      </c>
      <c r="F7" s="18">
        <v>93</v>
      </c>
      <c r="G7" s="16">
        <f>C7/C6-1</f>
        <v>-0.406003159557662</v>
      </c>
      <c r="H7" s="16">
        <f>(E7+F7-C7)/C7</f>
        <v>-0.88031914893617</v>
      </c>
      <c r="I7" s="16"/>
      <c r="J7" s="16"/>
    </row>
    <row r="8" ht="20.05" customHeight="1">
      <c r="B8" s="31">
        <v>2016</v>
      </c>
      <c r="C8" s="17">
        <v>1047</v>
      </c>
      <c r="D8" s="22"/>
      <c r="E8" s="18">
        <v>64</v>
      </c>
      <c r="F8" s="18">
        <v>83</v>
      </c>
      <c r="G8" s="16">
        <f>C8/C7-1</f>
        <v>-0.07180851063829791</v>
      </c>
      <c r="H8" s="16">
        <f>(E8+F8-C8)/C8</f>
        <v>-0.859598853868195</v>
      </c>
      <c r="I8" s="16">
        <f>AVERAGE(H5:H8)</f>
        <v>-0.813477907047764</v>
      </c>
      <c r="J8" s="16"/>
    </row>
    <row r="9" ht="20.05" customHeight="1">
      <c r="B9" s="30"/>
      <c r="C9" s="17">
        <v>1271</v>
      </c>
      <c r="D9" s="22"/>
      <c r="E9" s="18">
        <v>70</v>
      </c>
      <c r="F9" s="18">
        <v>48</v>
      </c>
      <c r="G9" s="16">
        <f>C9/C8-1</f>
        <v>0.213944603629417</v>
      </c>
      <c r="H9" s="16">
        <f>(E9+F9-C9)/C9</f>
        <v>-0.907159716758458</v>
      </c>
      <c r="I9" s="16">
        <f>AVERAGE(H6:H9)</f>
        <v>-0.8446288295747501</v>
      </c>
      <c r="J9" s="16"/>
    </row>
    <row r="10" ht="20.05" customHeight="1">
      <c r="B10" s="30"/>
      <c r="C10" s="17">
        <v>1296</v>
      </c>
      <c r="D10" s="22"/>
      <c r="E10" s="18">
        <v>68</v>
      </c>
      <c r="F10" s="18">
        <v>119</v>
      </c>
      <c r="G10" s="16">
        <f>C10/C9-1</f>
        <v>0.019669551534225</v>
      </c>
      <c r="H10" s="16">
        <f>(E10+F10-C10)/C10</f>
        <v>-0.85570987654321</v>
      </c>
      <c r="I10" s="16">
        <f>AVERAGE(H7:H10)</f>
        <v>-0.875696899026508</v>
      </c>
      <c r="J10" s="16"/>
    </row>
    <row r="11" ht="20.05" customHeight="1">
      <c r="B11" s="30"/>
      <c r="C11" s="17">
        <v>1784</v>
      </c>
      <c r="D11" s="22"/>
      <c r="E11" s="18">
        <v>67</v>
      </c>
      <c r="F11" s="18">
        <v>355</v>
      </c>
      <c r="G11" s="16">
        <f>C11/C10-1</f>
        <v>0.376543209876543</v>
      </c>
      <c r="H11" s="16">
        <f>(E11+F11-C11)/C11</f>
        <v>-0.763452914798206</v>
      </c>
      <c r="I11" s="16">
        <f>AVERAGE(H8:H11)</f>
        <v>-0.846480340492017</v>
      </c>
      <c r="J11" s="16"/>
    </row>
    <row r="12" ht="20.05" customHeight="1">
      <c r="B12" s="31">
        <v>2017</v>
      </c>
      <c r="C12" s="17">
        <v>1230</v>
      </c>
      <c r="D12" s="22"/>
      <c r="E12" s="18">
        <v>76</v>
      </c>
      <c r="F12" s="18">
        <v>106</v>
      </c>
      <c r="G12" s="16">
        <f>C12/C11-1</f>
        <v>-0.310538116591928</v>
      </c>
      <c r="H12" s="16">
        <f>(E12+F12-C12)/C12</f>
        <v>-0.852032520325203</v>
      </c>
      <c r="I12" s="16">
        <f>AVERAGE(H9:H12)</f>
        <v>-0.844588757106269</v>
      </c>
      <c r="J12" s="16"/>
    </row>
    <row r="13" ht="20.05" customHeight="1">
      <c r="B13" s="30"/>
      <c r="C13" s="17">
        <v>1470</v>
      </c>
      <c r="D13" s="22"/>
      <c r="E13" s="18">
        <v>76</v>
      </c>
      <c r="F13" s="18">
        <v>28</v>
      </c>
      <c r="G13" s="16">
        <f>C13/C12-1</f>
        <v>0.195121951219512</v>
      </c>
      <c r="H13" s="16">
        <f>(E13+F13-C13)/C13</f>
        <v>-0.929251700680272</v>
      </c>
      <c r="I13" s="16">
        <f>AVERAGE(H10:H13)</f>
        <v>-0.850111753086723</v>
      </c>
      <c r="J13" s="16"/>
    </row>
    <row r="14" ht="20.05" customHeight="1">
      <c r="B14" s="30"/>
      <c r="C14" s="17">
        <v>1295</v>
      </c>
      <c r="D14" s="22"/>
      <c r="E14" s="18">
        <v>77</v>
      </c>
      <c r="F14" s="18">
        <v>105</v>
      </c>
      <c r="G14" s="16">
        <f>C14/C13-1</f>
        <v>-0.119047619047619</v>
      </c>
      <c r="H14" s="16">
        <f>(E14+F14-C14)/C14</f>
        <v>-0.859459459459459</v>
      </c>
      <c r="I14" s="16">
        <f>AVERAGE(H11:H14)</f>
        <v>-0.851049148815785</v>
      </c>
      <c r="J14" s="16"/>
    </row>
    <row r="15" ht="20.05" customHeight="1">
      <c r="B15" s="30"/>
      <c r="C15" s="17">
        <v>1646</v>
      </c>
      <c r="D15" s="22"/>
      <c r="E15" s="18">
        <v>106</v>
      </c>
      <c r="F15" s="18">
        <v>293</v>
      </c>
      <c r="G15" s="16">
        <f>C15/C14-1</f>
        <v>0.271042471042471</v>
      </c>
      <c r="H15" s="16">
        <f>(E15+F15-C15)/C15</f>
        <v>-0.7575941676792221</v>
      </c>
      <c r="I15" s="16">
        <f>AVERAGE(H12:H15)</f>
        <v>-0.849584462036039</v>
      </c>
      <c r="J15" s="16"/>
    </row>
    <row r="16" ht="20.05" customHeight="1">
      <c r="B16" s="31">
        <v>2018</v>
      </c>
      <c r="C16" s="17">
        <v>1197</v>
      </c>
      <c r="D16" s="22"/>
      <c r="E16" s="18">
        <v>24</v>
      </c>
      <c r="F16" s="18">
        <v>85</v>
      </c>
      <c r="G16" s="16">
        <f>C16/C15-1</f>
        <v>-0.272782503037667</v>
      </c>
      <c r="H16" s="16">
        <f>(E16+F16-C16)/C16</f>
        <v>-0.908939014202172</v>
      </c>
      <c r="I16" s="16">
        <f>AVERAGE(H13:H16)</f>
        <v>-0.863811085505281</v>
      </c>
      <c r="J16" s="16"/>
    </row>
    <row r="17" ht="20.05" customHeight="1">
      <c r="B17" s="30"/>
      <c r="C17" s="17">
        <v>1466</v>
      </c>
      <c r="D17" s="22"/>
      <c r="E17" s="18">
        <v>129</v>
      </c>
      <c r="F17" s="18">
        <v>116</v>
      </c>
      <c r="G17" s="16">
        <f>C17/C16-1</f>
        <v>0.224728487886383</v>
      </c>
      <c r="H17" s="16">
        <f>(E17+F17-C17)/C17</f>
        <v>-0.832878581173261</v>
      </c>
      <c r="I17" s="16">
        <f>AVERAGE(H14:H17)</f>
        <v>-0.839717805628529</v>
      </c>
      <c r="J17" s="16"/>
    </row>
    <row r="18" ht="20.05" customHeight="1">
      <c r="B18" s="30"/>
      <c r="C18" s="17">
        <v>1360</v>
      </c>
      <c r="D18" s="22"/>
      <c r="E18" s="18">
        <v>76</v>
      </c>
      <c r="F18" s="18">
        <v>191</v>
      </c>
      <c r="G18" s="16">
        <f>C18/C17-1</f>
        <v>-0.07230559345156889</v>
      </c>
      <c r="H18" s="16">
        <f>(E18+F18-C18)/C18</f>
        <v>-0.803676470588235</v>
      </c>
      <c r="I18" s="16">
        <f>AVERAGE(H15:H18)</f>
        <v>-0.825772058410723</v>
      </c>
      <c r="J18" s="16"/>
    </row>
    <row r="19" ht="20.05" customHeight="1">
      <c r="B19" s="30"/>
      <c r="C19" s="17">
        <v>1638</v>
      </c>
      <c r="D19" s="22"/>
      <c r="E19" s="18">
        <v>73</v>
      </c>
      <c r="F19" s="18">
        <v>299</v>
      </c>
      <c r="G19" s="16">
        <f>C19/C18-1</f>
        <v>0.204411764705882</v>
      </c>
      <c r="H19" s="16">
        <f>(E19+F19-C19)/C19</f>
        <v>-0.772893772893773</v>
      </c>
      <c r="I19" s="16">
        <f>AVERAGE(H16:H19)</f>
        <v>-0.82959695971436</v>
      </c>
      <c r="J19" s="16"/>
    </row>
    <row r="20" ht="20.05" customHeight="1">
      <c r="B20" s="31">
        <v>2019</v>
      </c>
      <c r="C20" s="17">
        <v>1061</v>
      </c>
      <c r="D20" s="22"/>
      <c r="E20" s="18">
        <v>73</v>
      </c>
      <c r="F20" s="18">
        <v>103</v>
      </c>
      <c r="G20" s="16">
        <f>C20/C19-1</f>
        <v>-0.352258852258852</v>
      </c>
      <c r="H20" s="16">
        <f>(E20+F20-C20)/C20</f>
        <v>-0.834118755890669</v>
      </c>
      <c r="I20" s="16">
        <f>AVERAGE(H17:H20)</f>
        <v>-0.810891895136485</v>
      </c>
      <c r="J20" s="16"/>
    </row>
    <row r="21" ht="20.05" customHeight="1">
      <c r="B21" s="30"/>
      <c r="C21" s="17">
        <v>1617</v>
      </c>
      <c r="D21" s="22"/>
      <c r="E21" s="18">
        <v>68</v>
      </c>
      <c r="F21" s="18">
        <v>113</v>
      </c>
      <c r="G21" s="16">
        <f>C21/C20-1</f>
        <v>0.524033930254477</v>
      </c>
      <c r="H21" s="16">
        <f>(E21+F21-C21)/C21</f>
        <v>-0.888064316635745</v>
      </c>
      <c r="I21" s="16">
        <f>AVERAGE(H18:H21)</f>
        <v>-0.824688329002106</v>
      </c>
      <c r="J21" s="16"/>
    </row>
    <row r="22" ht="20.05" customHeight="1">
      <c r="B22" s="30"/>
      <c r="C22" s="17">
        <v>1733</v>
      </c>
      <c r="D22" s="18"/>
      <c r="E22" s="18">
        <v>68</v>
      </c>
      <c r="F22" s="18">
        <v>200</v>
      </c>
      <c r="G22" s="16">
        <f>C22/C21-1</f>
        <v>0.0717377860235003</v>
      </c>
      <c r="H22" s="16">
        <f>(E22+F22-C22)/C22</f>
        <v>-0.84535487593768</v>
      </c>
      <c r="I22" s="16">
        <f>AVERAGE(H19:H22)</f>
        <v>-0.835107930339467</v>
      </c>
      <c r="J22" s="16"/>
    </row>
    <row r="23" ht="20.05" customHeight="1">
      <c r="B23" s="30"/>
      <c r="C23" s="17">
        <v>1531</v>
      </c>
      <c r="D23" s="18">
        <v>1883.7</v>
      </c>
      <c r="E23" s="18">
        <v>69</v>
      </c>
      <c r="F23" s="18">
        <v>197</v>
      </c>
      <c r="G23" s="16">
        <f>C23/C22-1</f>
        <v>-0.116560877091748</v>
      </c>
      <c r="H23" s="16">
        <f>(E23+F23-C23)/C23</f>
        <v>-0.826257348138472</v>
      </c>
      <c r="I23" s="16">
        <f>AVERAGE(H20:H23)</f>
        <v>-0.848448824150642</v>
      </c>
      <c r="J23" s="16"/>
    </row>
    <row r="24" ht="20.05" customHeight="1">
      <c r="B24" s="31">
        <v>2020</v>
      </c>
      <c r="C24" s="17">
        <v>1039.4</v>
      </c>
      <c r="D24" s="18">
        <v>848.8</v>
      </c>
      <c r="E24" s="18">
        <v>68</v>
      </c>
      <c r="F24" s="18">
        <v>31.86</v>
      </c>
      <c r="G24" s="16">
        <f>C24/C23-1</f>
        <v>-0.321097322011757</v>
      </c>
      <c r="H24" s="16">
        <f>(E24+F24-C24)/C24</f>
        <v>-0.903925341543198</v>
      </c>
      <c r="I24" s="16">
        <f>AVERAGE(H21:H24)</f>
        <v>-0.8659004705637739</v>
      </c>
      <c r="J24" s="16"/>
    </row>
    <row r="25" ht="20.05" customHeight="1">
      <c r="B25" s="30"/>
      <c r="C25" s="17">
        <f>2182-C24</f>
        <v>1142.6</v>
      </c>
      <c r="D25" s="18">
        <v>1051.05</v>
      </c>
      <c r="E25" s="18">
        <v>73</v>
      </c>
      <c r="F25" s="18">
        <f>38-F24</f>
        <v>6.14</v>
      </c>
      <c r="G25" s="16">
        <f>C25/C24-1</f>
        <v>0.0992880507985376</v>
      </c>
      <c r="H25" s="16">
        <f>(E25+F25-C25)/C25</f>
        <v>-0.930736915806056</v>
      </c>
      <c r="I25" s="16">
        <f>AVERAGE(H22:H25)</f>
        <v>-0.876568620356352</v>
      </c>
      <c r="J25" s="16"/>
    </row>
    <row r="26" ht="20.05" customHeight="1">
      <c r="B26" s="30"/>
      <c r="C26" s="17">
        <f>3260.198-SUM(C24:C25)</f>
        <v>1078.198</v>
      </c>
      <c r="D26" s="18">
        <v>1473.05</v>
      </c>
      <c r="E26" s="18">
        <f>150.5+56.6-SUM(E24:E25)</f>
        <v>66.09999999999999</v>
      </c>
      <c r="F26" s="18">
        <f>29.4-SUM(F24:F25)</f>
        <v>-8.6</v>
      </c>
      <c r="G26" s="16">
        <f>C26/C25-1</f>
        <v>-0.0563644319971994</v>
      </c>
      <c r="H26" s="16">
        <f>(E26+F26-C26)/C26</f>
        <v>-0.946670277629897</v>
      </c>
      <c r="I26" s="16">
        <f>AVERAGE(H23:H26)</f>
        <v>-0.901897470779406</v>
      </c>
      <c r="J26" s="16"/>
    </row>
    <row r="27" ht="20.05" customHeight="1">
      <c r="B27" s="30"/>
      <c r="C27" s="17">
        <f>5030-SUM(C24:C26)</f>
        <v>1769.802</v>
      </c>
      <c r="D27" s="18">
        <v>1218.36374</v>
      </c>
      <c r="E27" s="18">
        <f>275.9-SUM(E24:E26)</f>
        <v>68.8</v>
      </c>
      <c r="F27" s="18">
        <f>245.9-SUM(F24:F26)</f>
        <v>216.5</v>
      </c>
      <c r="G27" s="16">
        <f>C27/C26-1</f>
        <v>0.641444335827</v>
      </c>
      <c r="H27" s="16">
        <f>(E27+F27-C27)/C27</f>
        <v>-0.8387955262792109</v>
      </c>
      <c r="I27" s="16">
        <f>AVERAGE(H24:H27)</f>
        <v>-0.905032015314591</v>
      </c>
      <c r="J27" s="16"/>
    </row>
    <row r="28" ht="20.05" customHeight="1">
      <c r="B28" s="31">
        <v>2021</v>
      </c>
      <c r="C28" s="17">
        <v>1070.6</v>
      </c>
      <c r="D28" s="18">
        <v>1415.8416</v>
      </c>
      <c r="E28" s="18">
        <v>69</v>
      </c>
      <c r="F28" s="18">
        <v>36.8</v>
      </c>
      <c r="G28" s="16">
        <f>C28/C27-1</f>
        <v>-0.395073573201974</v>
      </c>
      <c r="H28" s="16">
        <f>(E28+F28-C28)/C28</f>
        <v>-0.901176910143845</v>
      </c>
      <c r="I28" s="16">
        <f>AVERAGE(H25:H28)</f>
        <v>-0.904344907464752</v>
      </c>
      <c r="J28" s="16"/>
    </row>
    <row r="29" ht="20.05" customHeight="1">
      <c r="B29" s="30"/>
      <c r="C29" s="17">
        <f>2458.6-C28</f>
        <v>1388</v>
      </c>
      <c r="D29" s="18">
        <v>1712.96</v>
      </c>
      <c r="E29" s="18">
        <v>69</v>
      </c>
      <c r="F29" s="18">
        <f>155.8-F28</f>
        <v>119</v>
      </c>
      <c r="G29" s="16">
        <f>C29/C28-1</f>
        <v>0.296469269568466</v>
      </c>
      <c r="H29" s="16">
        <f>(E29+F29-C29)/C29</f>
        <v>-0.864553314121037</v>
      </c>
      <c r="I29" s="16">
        <f>AVERAGE(H26:H29)</f>
        <v>-0.887799007043498</v>
      </c>
      <c r="J29" s="16"/>
    </row>
    <row r="30" ht="20.05" customHeight="1">
      <c r="B30" s="30"/>
      <c r="C30" s="17">
        <f>3789.8-SUM(C28:C29)</f>
        <v>1331.2</v>
      </c>
      <c r="D30" s="18">
        <v>1360.24</v>
      </c>
      <c r="E30" s="18">
        <v>69</v>
      </c>
      <c r="F30" s="18">
        <f>234.3-SUM(F28:F29)</f>
        <v>78.5</v>
      </c>
      <c r="G30" s="16">
        <f>C30/C29-1</f>
        <v>-0.0409221902017291</v>
      </c>
      <c r="H30" s="16">
        <f>(E30+F30-C30)/C30</f>
        <v>-0.889197716346154</v>
      </c>
      <c r="I30" s="16">
        <f>AVERAGE(H27:H30)</f>
        <v>-0.873430866722562</v>
      </c>
      <c r="J30" s="16"/>
    </row>
    <row r="31" ht="20.05" customHeight="1">
      <c r="B31" s="30"/>
      <c r="C31" s="17">
        <f>5568-C30-C29-C28</f>
        <v>1778.2</v>
      </c>
      <c r="D31" s="18">
        <v>1464.32</v>
      </c>
      <c r="E31" s="22">
        <v>69</v>
      </c>
      <c r="F31" s="18">
        <f>550-F30-F29-F28</f>
        <v>315.7</v>
      </c>
      <c r="G31" s="16">
        <f>C31/C30-1</f>
        <v>0.335787259615385</v>
      </c>
      <c r="H31" s="16">
        <f>(E31+F31-C31)/C31</f>
        <v>-0.7836576313125631</v>
      </c>
      <c r="I31" s="16">
        <f>AVERAGE(H28:H31)</f>
        <v>-0.8596463929809</v>
      </c>
      <c r="J31" s="16"/>
    </row>
    <row r="32" ht="20.05" customHeight="1">
      <c r="B32" s="31">
        <v>2022</v>
      </c>
      <c r="C32" s="17">
        <v>1470</v>
      </c>
      <c r="D32" s="14">
        <v>1422.56</v>
      </c>
      <c r="E32" s="22">
        <v>58</v>
      </c>
      <c r="F32" s="22">
        <v>236</v>
      </c>
      <c r="G32" s="16">
        <f>C32/C31-1</f>
        <v>-0.173321336182657</v>
      </c>
      <c r="H32" s="16">
        <f>(E32+F32-C32)/C32</f>
        <v>-0.8</v>
      </c>
      <c r="I32" s="16">
        <f>AVERAGE(H29:H32)</f>
        <v>-0.834352165444939</v>
      </c>
      <c r="J32" s="16">
        <v>-0.7836576313125631</v>
      </c>
    </row>
    <row r="33" ht="20.05" customHeight="1">
      <c r="B33" s="30"/>
      <c r="C33" s="17"/>
      <c r="D33" s="14">
        <f>'Model'!C6</f>
        <v>1690.5</v>
      </c>
      <c r="E33" s="22"/>
      <c r="F33" s="22"/>
      <c r="G33" s="12"/>
      <c r="H33" s="12"/>
      <c r="I33" s="16"/>
      <c r="J33" s="16">
        <f>'Model'!C7</f>
        <v>-0.8</v>
      </c>
    </row>
    <row r="34" ht="20.05" customHeight="1">
      <c r="B34" s="30"/>
      <c r="C34" s="17"/>
      <c r="D34" s="18">
        <f>'Model'!D6</f>
        <v>1605.975</v>
      </c>
      <c r="E34" s="22"/>
      <c r="F34" s="22"/>
      <c r="G34" s="12"/>
      <c r="H34" s="12"/>
      <c r="I34" s="16"/>
      <c r="J34" s="16"/>
    </row>
    <row r="35" ht="20.05" customHeight="1">
      <c r="B35" s="30"/>
      <c r="C35" s="17"/>
      <c r="D35" s="18">
        <f>'Model'!E6</f>
        <v>1927.17</v>
      </c>
      <c r="E35" s="18">
        <f>SUM(C23:C32)</f>
        <v>13599</v>
      </c>
      <c r="F35" s="18">
        <f>SUM(D23:D32)</f>
        <v>13850.88534</v>
      </c>
      <c r="G35" s="12"/>
      <c r="H35" s="12"/>
      <c r="I35" s="16"/>
      <c r="J35" s="16"/>
    </row>
    <row r="36" ht="20.05" customHeight="1">
      <c r="B36" s="31">
        <v>2023</v>
      </c>
      <c r="C36" s="17"/>
      <c r="D36" s="18">
        <f>'Model'!F6</f>
        <v>1638.0945</v>
      </c>
      <c r="E36" s="22"/>
      <c r="F36" s="22"/>
      <c r="G36" s="12"/>
      <c r="H36" s="12"/>
      <c r="I36" s="16"/>
      <c r="J36" s="16"/>
    </row>
  </sheetData>
  <mergeCells count="1">
    <mergeCell ref="B2:J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N3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7.28906" style="32" customWidth="1"/>
    <col min="2" max="2" width="8.15625" style="32" customWidth="1"/>
    <col min="3" max="3" width="11.1484" style="32" customWidth="1"/>
    <col min="4" max="4" width="10.8047" style="32" customWidth="1"/>
    <col min="5" max="5" width="10.6172" style="32" customWidth="1"/>
    <col min="6" max="10" width="9.92188" style="32" customWidth="1"/>
    <col min="11" max="14" width="13.375" style="32" customWidth="1"/>
    <col min="15" max="16384" width="16.3516" style="32" customWidth="1"/>
  </cols>
  <sheetData>
    <row r="1" ht="34.95" customHeight="1"/>
    <row r="2" ht="27.65" customHeight="1">
      <c r="B2" t="s" s="2">
        <v>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ht="32.25" customHeight="1">
      <c r="B3" t="s" s="5">
        <v>1</v>
      </c>
      <c r="C3" t="s" s="5">
        <v>46</v>
      </c>
      <c r="D3" t="s" s="5">
        <v>8</v>
      </c>
      <c r="E3" t="s" s="5">
        <v>47</v>
      </c>
      <c r="F3" t="s" s="5">
        <v>11</v>
      </c>
      <c r="G3" t="s" s="5">
        <v>26</v>
      </c>
      <c r="H3" t="s" s="5">
        <v>10</v>
      </c>
      <c r="I3" t="s" s="5">
        <v>48</v>
      </c>
      <c r="J3" t="s" s="5">
        <v>3</v>
      </c>
      <c r="K3" t="s" s="5">
        <v>35</v>
      </c>
      <c r="L3" t="s" s="5">
        <v>30</v>
      </c>
      <c r="M3" t="s" s="5">
        <v>35</v>
      </c>
      <c r="N3" s="33"/>
    </row>
    <row r="4" ht="20.25" customHeight="1">
      <c r="B4" s="25">
        <v>2015</v>
      </c>
      <c r="C4" s="26">
        <v>1107</v>
      </c>
      <c r="D4" s="28">
        <v>587</v>
      </c>
      <c r="E4" s="28">
        <v>-1006</v>
      </c>
      <c r="F4" s="28"/>
      <c r="G4" s="28"/>
      <c r="H4" s="28">
        <v>152</v>
      </c>
      <c r="I4" s="28">
        <f>D4+E4</f>
        <v>-419</v>
      </c>
      <c r="J4" s="28"/>
      <c r="K4" s="28"/>
      <c r="L4" s="28">
        <f>-H4</f>
        <v>-152</v>
      </c>
      <c r="M4" s="28"/>
      <c r="N4" s="28">
        <v>1</v>
      </c>
    </row>
    <row r="5" ht="20.05" customHeight="1">
      <c r="B5" s="30"/>
      <c r="C5" s="17">
        <v>976</v>
      </c>
      <c r="D5" s="18">
        <v>-299</v>
      </c>
      <c r="E5" s="18">
        <v>-418</v>
      </c>
      <c r="F5" s="18"/>
      <c r="G5" s="18"/>
      <c r="H5" s="18">
        <v>471</v>
      </c>
      <c r="I5" s="18">
        <f>D5+E5</f>
        <v>-717</v>
      </c>
      <c r="J5" s="18"/>
      <c r="K5" s="18"/>
      <c r="L5" s="18">
        <f>-H5+L4</f>
        <v>-623</v>
      </c>
      <c r="M5" s="18"/>
      <c r="N5" s="18">
        <f>1+N4</f>
        <v>2</v>
      </c>
    </row>
    <row r="6" ht="20.05" customHeight="1">
      <c r="B6" s="30"/>
      <c r="C6" s="17">
        <v>1055</v>
      </c>
      <c r="D6" s="18">
        <v>-156</v>
      </c>
      <c r="E6" s="18">
        <v>-226</v>
      </c>
      <c r="F6" s="18"/>
      <c r="G6" s="18"/>
      <c r="H6" s="18">
        <v>98</v>
      </c>
      <c r="I6" s="18">
        <f>D6+E6</f>
        <v>-382</v>
      </c>
      <c r="J6" s="18"/>
      <c r="K6" s="18"/>
      <c r="L6" s="18">
        <f>-H6+L5</f>
        <v>-721</v>
      </c>
      <c r="M6" s="18"/>
      <c r="N6" s="18">
        <f>1+N5</f>
        <v>3</v>
      </c>
    </row>
    <row r="7" ht="20.05" customHeight="1">
      <c r="B7" s="30"/>
      <c r="C7" s="17">
        <v>2586</v>
      </c>
      <c r="D7" s="18">
        <v>-511</v>
      </c>
      <c r="E7" s="18">
        <v>1207</v>
      </c>
      <c r="F7" s="18"/>
      <c r="G7" s="18"/>
      <c r="H7" s="18">
        <v>-465</v>
      </c>
      <c r="I7" s="18">
        <f>D7+E7</f>
        <v>696</v>
      </c>
      <c r="J7" s="18"/>
      <c r="K7" s="18"/>
      <c r="L7" s="18">
        <f>-H7+L6</f>
        <v>-256</v>
      </c>
      <c r="M7" s="18"/>
      <c r="N7" s="18">
        <f>1+N6</f>
        <v>4</v>
      </c>
    </row>
    <row r="8" ht="20.05" customHeight="1">
      <c r="B8" s="31">
        <v>2016</v>
      </c>
      <c r="C8" s="17">
        <v>1238</v>
      </c>
      <c r="D8" s="18">
        <v>1</v>
      </c>
      <c r="E8" s="18">
        <v>-143</v>
      </c>
      <c r="F8" s="18"/>
      <c r="G8" s="18"/>
      <c r="H8" s="18">
        <v>225</v>
      </c>
      <c r="I8" s="18">
        <f>D8+E8</f>
        <v>-142</v>
      </c>
      <c r="J8" s="18">
        <f>AVERAGE(I5:I8)</f>
        <v>-136.25</v>
      </c>
      <c r="K8" s="18"/>
      <c r="L8" s="18">
        <f>-H8+L7</f>
        <v>-481</v>
      </c>
      <c r="M8" s="18"/>
      <c r="N8" s="18">
        <f>1+N7</f>
        <v>5</v>
      </c>
    </row>
    <row r="9" ht="20.05" customHeight="1">
      <c r="B9" s="30"/>
      <c r="C9" s="17">
        <v>1333</v>
      </c>
      <c r="D9" s="18">
        <v>-81</v>
      </c>
      <c r="E9" s="18">
        <v>-236</v>
      </c>
      <c r="F9" s="18"/>
      <c r="G9" s="18"/>
      <c r="H9" s="18">
        <v>673</v>
      </c>
      <c r="I9" s="18">
        <f>D9+E9</f>
        <v>-317</v>
      </c>
      <c r="J9" s="18">
        <f>AVERAGE(I6:I9)</f>
        <v>-36.25</v>
      </c>
      <c r="K9" s="18"/>
      <c r="L9" s="18">
        <f>-H9+L8</f>
        <v>-1154</v>
      </c>
      <c r="M9" s="18"/>
      <c r="N9" s="18">
        <f>1+N8</f>
        <v>6</v>
      </c>
    </row>
    <row r="10" ht="20.05" customHeight="1">
      <c r="B10" s="30"/>
      <c r="C10" s="17">
        <v>1237</v>
      </c>
      <c r="D10" s="18">
        <v>226</v>
      </c>
      <c r="E10" s="18">
        <v>-175</v>
      </c>
      <c r="F10" s="18"/>
      <c r="G10" s="18"/>
      <c r="H10" s="18">
        <v>46</v>
      </c>
      <c r="I10" s="18">
        <f>D10+E10</f>
        <v>51</v>
      </c>
      <c r="J10" s="18">
        <f>AVERAGE(I7:I10)</f>
        <v>72</v>
      </c>
      <c r="K10" s="18"/>
      <c r="L10" s="18">
        <f>-H10+L9</f>
        <v>-1200</v>
      </c>
      <c r="M10" s="18"/>
      <c r="N10" s="18">
        <f>1+N9</f>
        <v>7</v>
      </c>
    </row>
    <row r="11" ht="20.05" customHeight="1">
      <c r="B11" s="30"/>
      <c r="C11" s="17">
        <v>1352</v>
      </c>
      <c r="D11" s="18">
        <v>-111</v>
      </c>
      <c r="E11" s="18">
        <v>-245</v>
      </c>
      <c r="F11" s="18"/>
      <c r="G11" s="18"/>
      <c r="H11" s="18">
        <v>356</v>
      </c>
      <c r="I11" s="18">
        <f>D11+E11</f>
        <v>-356</v>
      </c>
      <c r="J11" s="18">
        <f>AVERAGE(I8:I11)</f>
        <v>-191</v>
      </c>
      <c r="K11" s="18"/>
      <c r="L11" s="18">
        <f>-H11+L10</f>
        <v>-1556</v>
      </c>
      <c r="M11" s="18"/>
      <c r="N11" s="18">
        <f>1+N10</f>
        <v>8</v>
      </c>
    </row>
    <row r="12" ht="20.05" customHeight="1">
      <c r="B12" s="31">
        <v>2017</v>
      </c>
      <c r="C12" s="17">
        <v>1273</v>
      </c>
      <c r="D12" s="18">
        <v>88.40000000000001</v>
      </c>
      <c r="E12" s="18">
        <v>-111</v>
      </c>
      <c r="F12" s="18"/>
      <c r="G12" s="18"/>
      <c r="H12" s="18">
        <v>54</v>
      </c>
      <c r="I12" s="18">
        <f>D12+E12</f>
        <v>-22.6</v>
      </c>
      <c r="J12" s="18">
        <f>AVERAGE(I9:I12)</f>
        <v>-161.15</v>
      </c>
      <c r="K12" s="18"/>
      <c r="L12" s="18">
        <f>-H12+L11</f>
        <v>-1610</v>
      </c>
      <c r="M12" s="18"/>
      <c r="N12" s="18">
        <f>1+N11</f>
        <v>9</v>
      </c>
    </row>
    <row r="13" ht="20.05" customHeight="1">
      <c r="B13" s="30"/>
      <c r="C13" s="17">
        <v>1374</v>
      </c>
      <c r="D13" s="18">
        <v>-11.4</v>
      </c>
      <c r="E13" s="18">
        <v>-304</v>
      </c>
      <c r="F13" s="18"/>
      <c r="G13" s="18"/>
      <c r="H13" s="18">
        <v>331</v>
      </c>
      <c r="I13" s="18">
        <f>D13+E13</f>
        <v>-315.4</v>
      </c>
      <c r="J13" s="18">
        <f>AVERAGE(I10:I13)</f>
        <v>-160.75</v>
      </c>
      <c r="K13" s="18"/>
      <c r="L13" s="18">
        <f>-H13+L12</f>
        <v>-1941</v>
      </c>
      <c r="M13" s="18"/>
      <c r="N13" s="18">
        <f>1+N12</f>
        <v>10</v>
      </c>
    </row>
    <row r="14" ht="20.05" customHeight="1">
      <c r="B14" s="30"/>
      <c r="C14" s="17">
        <v>1418</v>
      </c>
      <c r="D14" s="18">
        <v>27</v>
      </c>
      <c r="E14" s="18">
        <v>-61</v>
      </c>
      <c r="F14" s="18"/>
      <c r="G14" s="18"/>
      <c r="H14" s="18">
        <v>-413</v>
      </c>
      <c r="I14" s="18">
        <f>D14+E14</f>
        <v>-34</v>
      </c>
      <c r="J14" s="18">
        <f>AVERAGE(I11:I14)</f>
        <v>-182</v>
      </c>
      <c r="K14" s="18"/>
      <c r="L14" s="18">
        <f>-H14+L13</f>
        <v>-1528</v>
      </c>
      <c r="M14" s="18"/>
      <c r="N14" s="18">
        <f>1+N13</f>
        <v>11</v>
      </c>
    </row>
    <row r="15" ht="20.05" customHeight="1">
      <c r="B15" s="30"/>
      <c r="C15" s="17">
        <v>1659</v>
      </c>
      <c r="D15" s="18">
        <v>-483</v>
      </c>
      <c r="E15" s="18">
        <v>33</v>
      </c>
      <c r="F15" s="18"/>
      <c r="G15" s="18"/>
      <c r="H15" s="18">
        <v>284</v>
      </c>
      <c r="I15" s="18">
        <f>D15+E15</f>
        <v>-450</v>
      </c>
      <c r="J15" s="18">
        <f>AVERAGE(I12:I15)</f>
        <v>-205.5</v>
      </c>
      <c r="K15" s="18"/>
      <c r="L15" s="18">
        <f>-H15+L14</f>
        <v>-1812</v>
      </c>
      <c r="M15" s="18"/>
      <c r="N15" s="18">
        <f>1+N14</f>
        <v>12</v>
      </c>
    </row>
    <row r="16" ht="20.05" customHeight="1">
      <c r="B16" s="31">
        <v>2018</v>
      </c>
      <c r="C16" s="17">
        <v>1398</v>
      </c>
      <c r="D16" s="18">
        <v>148</v>
      </c>
      <c r="E16" s="18">
        <v>-142</v>
      </c>
      <c r="F16" s="18"/>
      <c r="G16" s="18"/>
      <c r="H16" s="18">
        <v>-99</v>
      </c>
      <c r="I16" s="18">
        <f>D16+E16</f>
        <v>6</v>
      </c>
      <c r="J16" s="18">
        <f>AVERAGE(I13:I16)</f>
        <v>-198.35</v>
      </c>
      <c r="K16" s="18"/>
      <c r="L16" s="18">
        <f>-H16+L15</f>
        <v>-1713</v>
      </c>
      <c r="M16" s="18"/>
      <c r="N16" s="18">
        <f>1+N15</f>
        <v>13</v>
      </c>
    </row>
    <row r="17" ht="20.05" customHeight="1">
      <c r="B17" s="30"/>
      <c r="C17" s="17">
        <v>1562</v>
      </c>
      <c r="D17" s="18">
        <v>36</v>
      </c>
      <c r="E17" s="18">
        <v>-158</v>
      </c>
      <c r="F17" s="18"/>
      <c r="G17" s="18"/>
      <c r="H17" s="18">
        <v>292</v>
      </c>
      <c r="I17" s="18">
        <f>D17+E17</f>
        <v>-122</v>
      </c>
      <c r="J17" s="18">
        <f>AVERAGE(I14:I17)</f>
        <v>-150</v>
      </c>
      <c r="K17" s="18"/>
      <c r="L17" s="18">
        <f>-H17+L16</f>
        <v>-2005</v>
      </c>
      <c r="M17" s="18"/>
      <c r="N17" s="18">
        <f>1+N16</f>
        <v>14</v>
      </c>
    </row>
    <row r="18" ht="20.05" customHeight="1">
      <c r="B18" s="30"/>
      <c r="C18" s="17">
        <v>1728</v>
      </c>
      <c r="D18" s="18">
        <v>287</v>
      </c>
      <c r="E18" s="18">
        <v>-429</v>
      </c>
      <c r="F18" s="18"/>
      <c r="G18" s="18"/>
      <c r="H18" s="18">
        <v>119</v>
      </c>
      <c r="I18" s="18">
        <f>D18+E18</f>
        <v>-142</v>
      </c>
      <c r="J18" s="18">
        <f>AVERAGE(I15:I18)</f>
        <v>-177</v>
      </c>
      <c r="K18" s="18"/>
      <c r="L18" s="18">
        <f>-H18+L17</f>
        <v>-2124</v>
      </c>
      <c r="M18" s="18"/>
      <c r="N18" s="18">
        <f>1+N17</f>
        <v>15</v>
      </c>
    </row>
    <row r="19" ht="20.05" customHeight="1">
      <c r="B19" s="30"/>
      <c r="C19" s="17">
        <v>1585</v>
      </c>
      <c r="D19" s="18">
        <v>-590</v>
      </c>
      <c r="E19" s="18">
        <v>388</v>
      </c>
      <c r="F19" s="18"/>
      <c r="G19" s="18"/>
      <c r="H19" s="18">
        <v>208</v>
      </c>
      <c r="I19" s="18">
        <f>D19+E19</f>
        <v>-202</v>
      </c>
      <c r="J19" s="18">
        <f>AVERAGE(I16:I19)</f>
        <v>-115</v>
      </c>
      <c r="K19" s="18"/>
      <c r="L19" s="18">
        <f>-H19+L18</f>
        <v>-2332</v>
      </c>
      <c r="M19" s="18"/>
      <c r="N19" s="18">
        <f>1+N18</f>
        <v>16</v>
      </c>
    </row>
    <row r="20" ht="20.05" customHeight="1">
      <c r="B20" s="31">
        <v>2019</v>
      </c>
      <c r="C20" s="17">
        <v>1530.41</v>
      </c>
      <c r="D20" s="18">
        <v>264.9</v>
      </c>
      <c r="E20" s="18">
        <v>-81</v>
      </c>
      <c r="F20" s="18"/>
      <c r="G20" s="18"/>
      <c r="H20" s="18">
        <v>-223</v>
      </c>
      <c r="I20" s="18">
        <f>D20+E20</f>
        <v>183.9</v>
      </c>
      <c r="J20" s="18">
        <f>AVERAGE(I17:I20)</f>
        <v>-70.52500000000001</v>
      </c>
      <c r="K20" s="18"/>
      <c r="L20" s="18">
        <f>-H20+L19</f>
        <v>-2109</v>
      </c>
      <c r="M20" s="18"/>
      <c r="N20" s="18">
        <f>1+N19</f>
        <v>17</v>
      </c>
    </row>
    <row r="21" ht="20.05" customHeight="1">
      <c r="B21" s="30"/>
      <c r="C21" s="17">
        <v>1505.59</v>
      </c>
      <c r="D21" s="18">
        <v>176.1</v>
      </c>
      <c r="E21" s="18">
        <v>-163</v>
      </c>
      <c r="F21" s="18"/>
      <c r="G21" s="18"/>
      <c r="H21" s="18">
        <v>10</v>
      </c>
      <c r="I21" s="18">
        <f>D21+E21</f>
        <v>13.1</v>
      </c>
      <c r="J21" s="18">
        <f>AVERAGE(I18:I21)</f>
        <v>-36.75</v>
      </c>
      <c r="K21" s="18"/>
      <c r="L21" s="18">
        <f>-H21+L20</f>
        <v>-2119</v>
      </c>
      <c r="M21" s="18"/>
      <c r="N21" s="18">
        <f>1+N20</f>
        <v>18</v>
      </c>
    </row>
    <row r="22" ht="20.05" customHeight="1">
      <c r="B22" s="30"/>
      <c r="C22" s="17">
        <v>1563</v>
      </c>
      <c r="D22" s="18">
        <v>183</v>
      </c>
      <c r="E22" s="18">
        <v>-70</v>
      </c>
      <c r="F22" s="18"/>
      <c r="G22" s="18"/>
      <c r="H22" s="18">
        <v>-33</v>
      </c>
      <c r="I22" s="18">
        <f>D22+E22</f>
        <v>113</v>
      </c>
      <c r="J22" s="18">
        <f>AVERAGE(I19:I22)</f>
        <v>27</v>
      </c>
      <c r="K22" s="18"/>
      <c r="L22" s="18">
        <f>-H22+L21</f>
        <v>-2086</v>
      </c>
      <c r="M22" s="18"/>
      <c r="N22" s="18">
        <f>1+N21</f>
        <v>19</v>
      </c>
    </row>
    <row r="23" ht="20.05" customHeight="1">
      <c r="B23" s="30"/>
      <c r="C23" s="17">
        <v>1308</v>
      </c>
      <c r="D23" s="18">
        <v>-119</v>
      </c>
      <c r="E23" s="18">
        <v>-267</v>
      </c>
      <c r="F23" s="18"/>
      <c r="G23" s="18"/>
      <c r="H23" s="18">
        <v>463</v>
      </c>
      <c r="I23" s="18">
        <f>D23+E23</f>
        <v>-386</v>
      </c>
      <c r="J23" s="18">
        <f>AVERAGE(I20:I23)</f>
        <v>-19</v>
      </c>
      <c r="K23" s="18"/>
      <c r="L23" s="18">
        <f>-H23+L22</f>
        <v>-2549</v>
      </c>
      <c r="M23" s="18"/>
      <c r="N23" s="18">
        <f>1+N22</f>
        <v>20</v>
      </c>
    </row>
    <row r="24" ht="20.05" customHeight="1">
      <c r="B24" s="31">
        <v>2020</v>
      </c>
      <c r="C24" s="17">
        <v>1216.82</v>
      </c>
      <c r="D24" s="18">
        <v>48.65</v>
      </c>
      <c r="E24" s="18">
        <v>-109.7</v>
      </c>
      <c r="F24" s="18"/>
      <c r="G24" s="18"/>
      <c r="H24" s="18">
        <v>952.1900000000001</v>
      </c>
      <c r="I24" s="18">
        <f>D24+E24</f>
        <v>-61.05</v>
      </c>
      <c r="J24" s="18">
        <f>AVERAGE(I21:I24)</f>
        <v>-80.2375</v>
      </c>
      <c r="K24" s="18"/>
      <c r="L24" s="18">
        <f>-H24+L23</f>
        <v>-3501.19</v>
      </c>
      <c r="M24" s="18"/>
      <c r="N24" s="18">
        <f>1+N23</f>
        <v>21</v>
      </c>
    </row>
    <row r="25" ht="20.05" customHeight="1">
      <c r="B25" s="30"/>
      <c r="C25" s="17">
        <v>758.1799999999999</v>
      </c>
      <c r="D25" s="18">
        <v>-355.65</v>
      </c>
      <c r="E25" s="18">
        <v>-113.3</v>
      </c>
      <c r="F25" s="18"/>
      <c r="G25" s="18"/>
      <c r="H25" s="18">
        <v>494.81</v>
      </c>
      <c r="I25" s="18">
        <f>D25+E25</f>
        <v>-468.95</v>
      </c>
      <c r="J25" s="18">
        <f>AVERAGE(I22:I25)</f>
        <v>-200.75</v>
      </c>
      <c r="K25" s="18"/>
      <c r="L25" s="18">
        <f>-H25+L24</f>
        <v>-3996</v>
      </c>
      <c r="M25" s="18"/>
      <c r="N25" s="18">
        <f>1+N24</f>
        <v>22</v>
      </c>
    </row>
    <row r="26" ht="20.05" customHeight="1">
      <c r="B26" s="30"/>
      <c r="C26" s="17">
        <f>2909.06-SUM(C24:C25)</f>
        <v>934.0599999999999</v>
      </c>
      <c r="D26" s="18">
        <f>-255.287-SUM(D24:D25)</f>
        <v>51.713</v>
      </c>
      <c r="E26" s="18">
        <f>-400-SUM(E24:E25)</f>
        <v>-177</v>
      </c>
      <c r="F26" s="18"/>
      <c r="G26" s="18"/>
      <c r="H26" s="18">
        <f>775.214-SUM(H24:H25)</f>
        <v>-671.7859999999999</v>
      </c>
      <c r="I26" s="18">
        <f>D26+E26</f>
        <v>-125.287</v>
      </c>
      <c r="J26" s="18">
        <f>AVERAGE(I23:I26)</f>
        <v>-260.32175</v>
      </c>
      <c r="K26" s="18"/>
      <c r="L26" s="18">
        <f>-H26+L25</f>
        <v>-3324.214</v>
      </c>
      <c r="M26" s="18"/>
      <c r="N26" s="18">
        <f>1+N25</f>
        <v>23</v>
      </c>
    </row>
    <row r="27" ht="20.05" customHeight="1">
      <c r="B27" s="30"/>
      <c r="C27" s="17">
        <v>1919.94</v>
      </c>
      <c r="D27" s="18">
        <v>232.387</v>
      </c>
      <c r="E27" s="18">
        <v>-79.40000000000001</v>
      </c>
      <c r="F27" s="18"/>
      <c r="G27" s="18"/>
      <c r="H27" s="18">
        <v>-281.214</v>
      </c>
      <c r="I27" s="18">
        <f>D27+E27</f>
        <v>152.987</v>
      </c>
      <c r="J27" s="18">
        <f>AVERAGE(I24:I27)</f>
        <v>-125.575</v>
      </c>
      <c r="K27" s="18"/>
      <c r="L27" s="18">
        <f>-H27+L26</f>
        <v>-3043</v>
      </c>
      <c r="M27" s="18"/>
      <c r="N27" s="18">
        <f>1+N26</f>
        <v>24</v>
      </c>
    </row>
    <row r="28" ht="20.05" customHeight="1">
      <c r="B28" s="31">
        <v>2021</v>
      </c>
      <c r="C28" s="17">
        <v>1373.5</v>
      </c>
      <c r="D28" s="18">
        <v>412.8</v>
      </c>
      <c r="E28" s="18">
        <v>-89.2</v>
      </c>
      <c r="F28" s="18">
        <f>-65.54-G28</f>
        <v>-23.89</v>
      </c>
      <c r="G28" s="18">
        <v>-41.65</v>
      </c>
      <c r="H28" s="18">
        <f>-64.5</f>
        <v>-64.5</v>
      </c>
      <c r="I28" s="18">
        <f>D28+E28</f>
        <v>323.6</v>
      </c>
      <c r="J28" s="18">
        <f>AVERAGE(I25:I28)</f>
        <v>-29.4125</v>
      </c>
      <c r="K28" s="18"/>
      <c r="L28" s="18">
        <f>-H28+L27</f>
        <v>-2978.5</v>
      </c>
      <c r="M28" s="18"/>
      <c r="N28" s="18">
        <f>1+N27</f>
        <v>25</v>
      </c>
    </row>
    <row r="29" ht="20.05" customHeight="1">
      <c r="B29" s="30"/>
      <c r="C29" s="17">
        <f>3073.2-C28</f>
        <v>1699.7</v>
      </c>
      <c r="D29" s="18">
        <f>1021.9-D28</f>
        <v>609.1</v>
      </c>
      <c r="E29" s="18">
        <f>-222.5-E28</f>
        <v>-133.3</v>
      </c>
      <c r="F29" s="18">
        <f>386.573-G29-F28-G28</f>
        <v>-1046.787</v>
      </c>
      <c r="G29" s="18">
        <f>1498.9-41.65-G28</f>
        <v>1498.9</v>
      </c>
      <c r="H29" s="18">
        <f>386.6-H28</f>
        <v>451.1</v>
      </c>
      <c r="I29" s="18">
        <f>D29+E29</f>
        <v>475.8</v>
      </c>
      <c r="J29" s="18">
        <f>AVERAGE(I26:I29)</f>
        <v>206.775</v>
      </c>
      <c r="K29" s="18"/>
      <c r="L29" s="18">
        <f>-H29+L28</f>
        <v>-3429.6</v>
      </c>
      <c r="M29" s="18"/>
      <c r="N29" s="18">
        <f>1+N28</f>
        <v>26</v>
      </c>
    </row>
    <row r="30" ht="20.05" customHeight="1">
      <c r="B30" s="30"/>
      <c r="C30" s="17">
        <f>4438.5-SUM(C28:C29)</f>
        <v>1365.3</v>
      </c>
      <c r="D30" s="18">
        <f>1406.8-SUM(D28:D29)</f>
        <v>384.9</v>
      </c>
      <c r="E30" s="18">
        <f>-333.2-SUM(E28:E29)</f>
        <v>-110.7</v>
      </c>
      <c r="F30" s="18">
        <f>-643.85-F29-F28-G30-G29-G28</f>
        <v>-963.883</v>
      </c>
      <c r="G30" s="18">
        <f>1492.385-101.675-G29-G28</f>
        <v>-66.54000000000001</v>
      </c>
      <c r="H30" s="18">
        <f>-643.8-SUM(H28:H29)</f>
        <v>-1030.4</v>
      </c>
      <c r="I30" s="18">
        <f>D30+E30</f>
        <v>274.2</v>
      </c>
      <c r="J30" s="18">
        <f>AVERAGE(I27:I30)</f>
        <v>306.64675</v>
      </c>
      <c r="K30" s="18"/>
      <c r="L30" s="18">
        <f>-H30+L29</f>
        <v>-2399.2</v>
      </c>
      <c r="M30" s="18"/>
      <c r="N30" s="18">
        <f>1+N29</f>
        <v>27</v>
      </c>
    </row>
    <row r="31" ht="20.05" customHeight="1">
      <c r="B31" s="30"/>
      <c r="C31" s="17">
        <f>6612-C30-C29-C28</f>
        <v>2173.5</v>
      </c>
      <c r="D31" s="18">
        <f>2443-D30-D29-D28</f>
        <v>1036.2</v>
      </c>
      <c r="E31" s="18">
        <f>-496-E30-E29-E28</f>
        <v>-162.8</v>
      </c>
      <c r="F31" s="18">
        <f>1868-3872-416-F30-F29-F28</f>
        <v>-385.44</v>
      </c>
      <c r="G31" s="18">
        <f>1492+284-102-G30-G29-G28</f>
        <v>283.29</v>
      </c>
      <c r="H31" s="18">
        <f>-830-H30-H29-H28</f>
        <v>-186.2</v>
      </c>
      <c r="I31" s="18">
        <f>D31+E31</f>
        <v>873.4</v>
      </c>
      <c r="J31" s="18">
        <f>AVERAGE(I28:I31)</f>
        <v>486.75</v>
      </c>
      <c r="K31" s="18"/>
      <c r="L31" s="18">
        <f>-H31+L30</f>
        <v>-2213</v>
      </c>
      <c r="M31" s="18"/>
      <c r="N31" s="18">
        <f>1+N30</f>
        <v>28</v>
      </c>
    </row>
    <row r="32" ht="20.05" customHeight="1">
      <c r="B32" s="31">
        <v>2022</v>
      </c>
      <c r="C32" s="17">
        <v>2402</v>
      </c>
      <c r="D32" s="18">
        <v>1410.6</v>
      </c>
      <c r="E32" s="18">
        <v>-89.2</v>
      </c>
      <c r="F32" s="18">
        <f>260-742</f>
        <v>-482</v>
      </c>
      <c r="G32" s="18">
        <v>9</v>
      </c>
      <c r="H32" s="18">
        <v>-525.9</v>
      </c>
      <c r="I32" s="18">
        <f>D32+E32</f>
        <v>1321.4</v>
      </c>
      <c r="J32" s="18">
        <f>AVERAGE(I29:I32)</f>
        <v>736.2</v>
      </c>
      <c r="K32" s="18">
        <v>296.28475</v>
      </c>
      <c r="L32" s="18">
        <f>-H32+L31</f>
        <v>-1687.1</v>
      </c>
      <c r="M32" s="18">
        <v>-1290.80345</v>
      </c>
      <c r="N32" s="18">
        <f>1+N31</f>
        <v>29</v>
      </c>
    </row>
    <row r="33" ht="20.05" customHeight="1">
      <c r="B33" s="30"/>
      <c r="C33" s="17"/>
      <c r="D33" s="18"/>
      <c r="E33" s="18"/>
      <c r="F33" s="18"/>
      <c r="G33" s="18"/>
      <c r="H33" s="18"/>
      <c r="I33" s="18"/>
      <c r="J33" s="34"/>
      <c r="K33" s="18">
        <f>SUM('Model'!F9:F10)</f>
        <v>238.4189</v>
      </c>
      <c r="L33" s="34"/>
      <c r="M33" s="18">
        <f>'Model'!F33</f>
        <v>-671.5521</v>
      </c>
      <c r="N33" s="18"/>
    </row>
  </sheetData>
  <mergeCells count="1">
    <mergeCell ref="B2:N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3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8.1562" style="35" customWidth="1"/>
    <col min="2" max="2" width="7.67969" style="35" customWidth="1"/>
    <col min="3" max="11" width="9.98438" style="35" customWidth="1"/>
    <col min="12" max="16384" width="16.3516" style="35" customWidth="1"/>
  </cols>
  <sheetData>
    <row r="1" ht="35.7" customHeight="1"/>
    <row r="2" ht="27.65" customHeight="1">
      <c r="B2" t="s" s="2">
        <v>22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49</v>
      </c>
      <c r="D3" t="s" s="5">
        <v>50</v>
      </c>
      <c r="E3" t="s" s="5">
        <v>51</v>
      </c>
      <c r="F3" t="s" s="5">
        <v>24</v>
      </c>
      <c r="G3" t="s" s="5">
        <v>11</v>
      </c>
      <c r="H3" t="s" s="5">
        <v>26</v>
      </c>
      <c r="I3" t="s" s="5">
        <v>52</v>
      </c>
      <c r="J3" t="s" s="5">
        <v>53</v>
      </c>
      <c r="K3" t="s" s="5">
        <v>35</v>
      </c>
    </row>
    <row r="4" ht="20.25" customHeight="1">
      <c r="B4" s="25">
        <v>2015</v>
      </c>
      <c r="C4" s="26">
        <v>1407</v>
      </c>
      <c r="D4" s="28">
        <v>16217</v>
      </c>
      <c r="E4" s="28">
        <f>D4-C4</f>
        <v>14810</v>
      </c>
      <c r="F4" s="28"/>
      <c r="G4" s="28">
        <v>9760</v>
      </c>
      <c r="H4" s="28">
        <v>6457</v>
      </c>
      <c r="I4" s="28">
        <f>G4+H4-C4-E4</f>
        <v>0</v>
      </c>
      <c r="J4" s="28">
        <f>C4-G4</f>
        <v>-8353</v>
      </c>
      <c r="K4" s="28"/>
    </row>
    <row r="5" ht="20.05" customHeight="1">
      <c r="B5" s="30"/>
      <c r="C5" s="17">
        <v>1257</v>
      </c>
      <c r="D5" s="18">
        <v>17172</v>
      </c>
      <c r="E5" s="18">
        <f>D5-C5</f>
        <v>15915</v>
      </c>
      <c r="F5" s="18"/>
      <c r="G5" s="18">
        <v>10316</v>
      </c>
      <c r="H5" s="18">
        <v>6856</v>
      </c>
      <c r="I5" s="18">
        <f>G5+H5-C5-E5</f>
        <v>0</v>
      </c>
      <c r="J5" s="18">
        <f>C5-G5</f>
        <v>-9059</v>
      </c>
      <c r="K5" s="18"/>
    </row>
    <row r="6" ht="20.05" customHeight="1">
      <c r="B6" s="30"/>
      <c r="C6" s="17">
        <v>975</v>
      </c>
      <c r="D6" s="18">
        <v>18006</v>
      </c>
      <c r="E6" s="18">
        <f>D6-C6</f>
        <v>17031</v>
      </c>
      <c r="F6" s="18"/>
      <c r="G6" s="18">
        <v>10690</v>
      </c>
      <c r="H6" s="18">
        <v>7316</v>
      </c>
      <c r="I6" s="18">
        <f>G6+H6-C6-E6</f>
        <v>0</v>
      </c>
      <c r="J6" s="18">
        <f>C6-G6</f>
        <v>-9715</v>
      </c>
      <c r="K6" s="18"/>
    </row>
    <row r="7" ht="20.05" customHeight="1">
      <c r="B7" s="30"/>
      <c r="C7" s="17">
        <v>1504</v>
      </c>
      <c r="D7" s="18">
        <v>18759</v>
      </c>
      <c r="E7" s="18">
        <f>D7-C7</f>
        <v>17255</v>
      </c>
      <c r="F7" s="18"/>
      <c r="G7" s="18">
        <v>11229</v>
      </c>
      <c r="H7" s="18">
        <v>7530</v>
      </c>
      <c r="I7" s="18">
        <f>G7+H7-C7-E7</f>
        <v>0</v>
      </c>
      <c r="J7" s="18">
        <f>C7-G7</f>
        <v>-9725</v>
      </c>
      <c r="K7" s="18"/>
    </row>
    <row r="8" ht="20.05" customHeight="1">
      <c r="B8" s="31">
        <v>2016</v>
      </c>
      <c r="C8" s="17">
        <v>1586</v>
      </c>
      <c r="D8" s="18">
        <v>19531</v>
      </c>
      <c r="E8" s="18">
        <f>D8-C8</f>
        <v>17945</v>
      </c>
      <c r="F8" s="18"/>
      <c r="G8" s="18">
        <v>11928</v>
      </c>
      <c r="H8" s="18">
        <v>7603</v>
      </c>
      <c r="I8" s="18">
        <f>G8+H8-C8-E8</f>
        <v>0</v>
      </c>
      <c r="J8" s="18">
        <f>C8-G8</f>
        <v>-10342</v>
      </c>
      <c r="K8" s="18"/>
    </row>
    <row r="9" ht="20.05" customHeight="1">
      <c r="B9" s="30"/>
      <c r="C9" s="17">
        <v>1943</v>
      </c>
      <c r="D9" s="18">
        <v>19751</v>
      </c>
      <c r="E9" s="18">
        <f>D9-C9</f>
        <v>17808</v>
      </c>
      <c r="F9" s="18"/>
      <c r="G9" s="18">
        <v>12167</v>
      </c>
      <c r="H9" s="18">
        <v>7585</v>
      </c>
      <c r="I9" s="18">
        <f>G9+H9-C9-E9</f>
        <v>1</v>
      </c>
      <c r="J9" s="18">
        <f>C9-G9</f>
        <v>-10224</v>
      </c>
      <c r="K9" s="18"/>
    </row>
    <row r="10" ht="20.05" customHeight="1">
      <c r="B10" s="30"/>
      <c r="C10" s="17">
        <v>2039</v>
      </c>
      <c r="D10" s="18">
        <v>19880</v>
      </c>
      <c r="E10" s="18">
        <f>D10-C10</f>
        <v>17841</v>
      </c>
      <c r="F10" s="18"/>
      <c r="G10" s="18">
        <v>12167</v>
      </c>
      <c r="H10" s="18">
        <v>7713</v>
      </c>
      <c r="I10" s="18">
        <f>G10+H10-C10-E10</f>
        <v>0</v>
      </c>
      <c r="J10" s="18">
        <f>C10-G10</f>
        <v>-10128</v>
      </c>
      <c r="K10" s="18"/>
    </row>
    <row r="11" ht="20.05" customHeight="1">
      <c r="B11" s="30"/>
      <c r="C11" s="17">
        <v>2039</v>
      </c>
      <c r="D11" s="18">
        <v>20810</v>
      </c>
      <c r="E11" s="18">
        <f>D11-C11</f>
        <v>18771</v>
      </c>
      <c r="F11" s="18"/>
      <c r="G11" s="18">
        <v>12644</v>
      </c>
      <c r="H11" s="18">
        <v>8166</v>
      </c>
      <c r="I11" s="18">
        <f>G11+H11-C11-E11</f>
        <v>0</v>
      </c>
      <c r="J11" s="18">
        <f>C11-G11</f>
        <v>-10605</v>
      </c>
      <c r="K11" s="18"/>
    </row>
    <row r="12" ht="20.05" customHeight="1">
      <c r="B12" s="31">
        <v>2017</v>
      </c>
      <c r="C12" s="17">
        <v>2107</v>
      </c>
      <c r="D12" s="18">
        <v>21004</v>
      </c>
      <c r="E12" s="18">
        <f>D12-C12</f>
        <v>18897</v>
      </c>
      <c r="F12" s="18"/>
      <c r="G12" s="18">
        <v>12733</v>
      </c>
      <c r="H12" s="18">
        <v>8270</v>
      </c>
      <c r="I12" s="18">
        <f>G12+H12-C12-E12</f>
        <v>-1</v>
      </c>
      <c r="J12" s="18">
        <f>C12-G12</f>
        <v>-10626</v>
      </c>
      <c r="K12" s="18"/>
    </row>
    <row r="13" ht="20.05" customHeight="1">
      <c r="B13" s="30"/>
      <c r="C13" s="17">
        <v>2112</v>
      </c>
      <c r="D13" s="18">
        <v>21205</v>
      </c>
      <c r="E13" s="18">
        <f>D13-C13</f>
        <v>19093</v>
      </c>
      <c r="F13" s="18"/>
      <c r="G13" s="18">
        <v>12991</v>
      </c>
      <c r="H13" s="18">
        <v>8214</v>
      </c>
      <c r="I13" s="18">
        <f>G13+H13-C13-E13</f>
        <v>0</v>
      </c>
      <c r="J13" s="18">
        <f>C13-G13</f>
        <v>-10879</v>
      </c>
      <c r="K13" s="18"/>
    </row>
    <row r="14" ht="20.05" customHeight="1">
      <c r="B14" s="30"/>
      <c r="C14" s="17">
        <v>1676</v>
      </c>
      <c r="D14" s="18">
        <v>20987</v>
      </c>
      <c r="E14" s="18">
        <f>D14-C14</f>
        <v>19311</v>
      </c>
      <c r="F14" s="18"/>
      <c r="G14" s="18">
        <v>12730</v>
      </c>
      <c r="H14" s="18">
        <v>8257</v>
      </c>
      <c r="I14" s="18">
        <f>G14+H14-C14-E14</f>
        <v>0</v>
      </c>
      <c r="J14" s="18">
        <f>C14-G14</f>
        <v>-11054</v>
      </c>
      <c r="K14" s="18"/>
    </row>
    <row r="15" ht="20.05" customHeight="1">
      <c r="B15" s="30"/>
      <c r="C15" s="17">
        <v>1482</v>
      </c>
      <c r="D15" s="18">
        <v>21663</v>
      </c>
      <c r="E15" s="18">
        <f>D15-C15</f>
        <v>20181</v>
      </c>
      <c r="F15" s="18"/>
      <c r="G15" s="18">
        <v>13309</v>
      </c>
      <c r="H15" s="18">
        <v>8354</v>
      </c>
      <c r="I15" s="18">
        <f>G15+H15-C15-E15</f>
        <v>0</v>
      </c>
      <c r="J15" s="18">
        <f>C15-G15</f>
        <v>-11827</v>
      </c>
      <c r="K15" s="18"/>
    </row>
    <row r="16" ht="20.05" customHeight="1">
      <c r="B16" s="31">
        <v>2018</v>
      </c>
      <c r="C16" s="17">
        <v>1390</v>
      </c>
      <c r="D16" s="18">
        <v>21737</v>
      </c>
      <c r="E16" s="18">
        <f>D16-C16</f>
        <v>20347</v>
      </c>
      <c r="F16" s="18"/>
      <c r="G16" s="18">
        <v>13384</v>
      </c>
      <c r="H16" s="18">
        <v>8354</v>
      </c>
      <c r="I16" s="18">
        <f>G16+H16-C16-E16</f>
        <v>1</v>
      </c>
      <c r="J16" s="18">
        <f>C16-G16</f>
        <v>-11994</v>
      </c>
      <c r="K16" s="18"/>
    </row>
    <row r="17" ht="20.05" customHeight="1">
      <c r="B17" s="30"/>
      <c r="C17" s="17">
        <v>1560</v>
      </c>
      <c r="D17" s="18">
        <v>23034</v>
      </c>
      <c r="E17" s="18">
        <f>D17-C17</f>
        <v>21474</v>
      </c>
      <c r="F17" s="18"/>
      <c r="G17" s="18">
        <v>14622</v>
      </c>
      <c r="H17" s="18">
        <v>8412</v>
      </c>
      <c r="I17" s="18">
        <f>G17+H17-C17-E17</f>
        <v>0</v>
      </c>
      <c r="J17" s="18">
        <f>C17-G17</f>
        <v>-13062</v>
      </c>
      <c r="K17" s="18"/>
    </row>
    <row r="18" ht="20.05" customHeight="1">
      <c r="B18" s="30"/>
      <c r="C18" s="17">
        <v>1537</v>
      </c>
      <c r="D18" s="18">
        <v>22908</v>
      </c>
      <c r="E18" s="18">
        <f>D18-C18</f>
        <v>21371</v>
      </c>
      <c r="F18" s="18"/>
      <c r="G18" s="18">
        <v>14211</v>
      </c>
      <c r="H18" s="18">
        <v>8697</v>
      </c>
      <c r="I18" s="18">
        <f>G18+H18-C18-E18</f>
        <v>0</v>
      </c>
      <c r="J18" s="18">
        <f>C18-G18</f>
        <v>-12674</v>
      </c>
      <c r="K18" s="18"/>
    </row>
    <row r="19" ht="20.05" customHeight="1">
      <c r="B19" s="30"/>
      <c r="C19" s="17">
        <v>1534</v>
      </c>
      <c r="D19" s="18">
        <v>23299</v>
      </c>
      <c r="E19" s="18">
        <f>D19-C19</f>
        <v>21765</v>
      </c>
      <c r="F19" s="18"/>
      <c r="G19" s="18">
        <v>14238</v>
      </c>
      <c r="H19" s="18">
        <v>9061</v>
      </c>
      <c r="I19" s="18">
        <f>G19+H19-C19-E19</f>
        <v>0</v>
      </c>
      <c r="J19" s="18">
        <f>C19-G19</f>
        <v>-12704</v>
      </c>
      <c r="K19" s="18"/>
    </row>
    <row r="20" ht="20.05" customHeight="1">
      <c r="B20" s="31">
        <v>2019</v>
      </c>
      <c r="C20" s="17">
        <v>1505</v>
      </c>
      <c r="D20" s="18">
        <v>23917</v>
      </c>
      <c r="E20" s="18">
        <f>D20-C20</f>
        <v>22412</v>
      </c>
      <c r="F20" s="18"/>
      <c r="G20" s="18">
        <v>14760</v>
      </c>
      <c r="H20" s="18">
        <v>9157</v>
      </c>
      <c r="I20" s="18">
        <f>G20+H20-C20-E20</f>
        <v>0</v>
      </c>
      <c r="J20" s="18">
        <f>C20-G20</f>
        <v>-13255</v>
      </c>
      <c r="K20" s="18"/>
    </row>
    <row r="21" ht="20.05" customHeight="1">
      <c r="B21" s="30"/>
      <c r="C21" s="17">
        <v>1517</v>
      </c>
      <c r="D21" s="18">
        <v>23947</v>
      </c>
      <c r="E21" s="18">
        <f>D21-C21</f>
        <v>22430</v>
      </c>
      <c r="F21" s="18"/>
      <c r="G21" s="18">
        <v>14746</v>
      </c>
      <c r="H21" s="18">
        <v>9201</v>
      </c>
      <c r="I21" s="18">
        <f>G21+H21-C21-E21</f>
        <v>0</v>
      </c>
      <c r="J21" s="18">
        <f>C21-G21</f>
        <v>-13229</v>
      </c>
      <c r="K21" s="18"/>
    </row>
    <row r="22" ht="20.05" customHeight="1">
      <c r="B22" s="30"/>
      <c r="C22" s="17">
        <v>1597</v>
      </c>
      <c r="D22" s="18">
        <v>23880</v>
      </c>
      <c r="E22" s="18">
        <f>D22-C22</f>
        <v>22283</v>
      </c>
      <c r="F22" s="18"/>
      <c r="G22" s="18">
        <v>14639</v>
      </c>
      <c r="H22" s="18">
        <v>9241</v>
      </c>
      <c r="I22" s="18">
        <f>G22+H22-C22-E22</f>
        <v>0</v>
      </c>
      <c r="J22" s="18">
        <f>C22-G22</f>
        <v>-13042</v>
      </c>
      <c r="K22" s="18"/>
    </row>
    <row r="23" ht="20.05" customHeight="1">
      <c r="B23" s="30"/>
      <c r="C23" s="17">
        <v>1664</v>
      </c>
      <c r="D23" s="18">
        <v>24442</v>
      </c>
      <c r="E23" s="18">
        <f>D23-C23</f>
        <v>22778</v>
      </c>
      <c r="F23" s="18"/>
      <c r="G23" s="18">
        <v>14990</v>
      </c>
      <c r="H23" s="18">
        <v>9452</v>
      </c>
      <c r="I23" s="18">
        <f>G23+H23-C23-E23</f>
        <v>0</v>
      </c>
      <c r="J23" s="18">
        <f>C23-G23</f>
        <v>-13326</v>
      </c>
      <c r="K23" s="18"/>
    </row>
    <row r="24" ht="20.05" customHeight="1">
      <c r="B24" s="31">
        <v>2020</v>
      </c>
      <c r="C24" s="17">
        <v>2556</v>
      </c>
      <c r="D24" s="18">
        <v>25769</v>
      </c>
      <c r="E24" s="18">
        <f>D24-C24</f>
        <v>23213</v>
      </c>
      <c r="F24" s="18"/>
      <c r="G24" s="18">
        <v>16438</v>
      </c>
      <c r="H24" s="18">
        <v>9331</v>
      </c>
      <c r="I24" s="18">
        <f>G24+H24-C24-E24</f>
        <v>0</v>
      </c>
      <c r="J24" s="18">
        <f>C24-G24</f>
        <v>-13882</v>
      </c>
      <c r="K24" s="18"/>
    </row>
    <row r="25" ht="20.05" customHeight="1">
      <c r="B25" s="30"/>
      <c r="C25" s="17">
        <v>2580</v>
      </c>
      <c r="D25" s="18">
        <v>25752</v>
      </c>
      <c r="E25" s="18">
        <f>D25-C25</f>
        <v>23172</v>
      </c>
      <c r="F25" s="18"/>
      <c r="G25" s="18">
        <v>16408</v>
      </c>
      <c r="H25" s="18">
        <v>9343</v>
      </c>
      <c r="I25" s="18">
        <f>G25+H25-C25-E25</f>
        <v>-1</v>
      </c>
      <c r="J25" s="18">
        <f>C25-G25</f>
        <v>-13828</v>
      </c>
      <c r="K25" s="18"/>
    </row>
    <row r="26" ht="20.05" customHeight="1">
      <c r="B26" s="30"/>
      <c r="C26" s="17">
        <v>1784</v>
      </c>
      <c r="D26" s="18">
        <v>24927</v>
      </c>
      <c r="E26" s="18">
        <f>D26-C26</f>
        <v>23143</v>
      </c>
      <c r="F26" s="18"/>
      <c r="G26" s="18">
        <v>15638</v>
      </c>
      <c r="H26" s="18">
        <v>9289</v>
      </c>
      <c r="I26" s="18">
        <f>G26+H26-C26-E26</f>
        <v>0</v>
      </c>
      <c r="J26" s="18">
        <f>C26-G26</f>
        <v>-13854</v>
      </c>
      <c r="K26" s="18"/>
    </row>
    <row r="27" ht="20.05" customHeight="1">
      <c r="B27" s="30"/>
      <c r="C27" s="17">
        <v>1656</v>
      </c>
      <c r="D27" s="18">
        <v>24923</v>
      </c>
      <c r="E27" s="18">
        <f>D27-C27</f>
        <v>23267</v>
      </c>
      <c r="F27" s="18">
        <v>2639.8</v>
      </c>
      <c r="G27" s="18">
        <v>15837</v>
      </c>
      <c r="H27" s="18">
        <v>9086</v>
      </c>
      <c r="I27" s="18">
        <f>G27+H27-C27-E27</f>
        <v>0</v>
      </c>
      <c r="J27" s="18">
        <f>C27-G27</f>
        <v>-14181</v>
      </c>
      <c r="K27" s="18"/>
    </row>
    <row r="28" ht="20.05" customHeight="1">
      <c r="B28" s="31">
        <v>2021</v>
      </c>
      <c r="C28" s="17">
        <v>1916</v>
      </c>
      <c r="D28" s="18">
        <v>25565</v>
      </c>
      <c r="E28" s="18">
        <f>D28-C28</f>
        <v>23649</v>
      </c>
      <c r="F28" s="18">
        <f>1930+765</f>
        <v>2695</v>
      </c>
      <c r="G28" s="18">
        <v>16488</v>
      </c>
      <c r="H28" s="18">
        <v>9077</v>
      </c>
      <c r="I28" s="18">
        <f>G28+H28-C28-E28</f>
        <v>0</v>
      </c>
      <c r="J28" s="18">
        <f>C28-G28</f>
        <v>-14572</v>
      </c>
      <c r="K28" s="18"/>
    </row>
    <row r="29" ht="20.05" customHeight="1">
      <c r="B29" s="30"/>
      <c r="C29" s="17">
        <v>2842</v>
      </c>
      <c r="D29" s="18">
        <v>26533</v>
      </c>
      <c r="E29" s="18">
        <f>D29-C29</f>
        <v>23691</v>
      </c>
      <c r="F29" s="18">
        <f>1982+782</f>
        <v>2764</v>
      </c>
      <c r="G29" s="18">
        <v>17400</v>
      </c>
      <c r="H29" s="18">
        <v>9133</v>
      </c>
      <c r="I29" s="18">
        <f>G29+H29-C29-E29</f>
        <v>0</v>
      </c>
      <c r="J29" s="18">
        <f>C29-G29</f>
        <v>-14558</v>
      </c>
      <c r="K29" s="18"/>
    </row>
    <row r="30" ht="20.05" customHeight="1">
      <c r="B30" s="30"/>
      <c r="C30" s="17">
        <v>2086</v>
      </c>
      <c r="D30" s="18">
        <v>25446</v>
      </c>
      <c r="E30" s="18">
        <f>D30-C30</f>
        <v>23360</v>
      </c>
      <c r="F30" s="18">
        <f>2046+782</f>
        <v>2828</v>
      </c>
      <c r="G30" s="18">
        <v>14800</v>
      </c>
      <c r="H30" s="18">
        <v>10646</v>
      </c>
      <c r="I30" s="18">
        <f>G30+H30-C30-E30</f>
        <v>0</v>
      </c>
      <c r="J30" s="18">
        <f>C30-G30</f>
        <v>-12714</v>
      </c>
      <c r="K30" s="18"/>
    </row>
    <row r="31" ht="20.05" customHeight="1">
      <c r="B31" s="30"/>
      <c r="C31" s="17">
        <v>2774</v>
      </c>
      <c r="D31" s="18">
        <v>26050</v>
      </c>
      <c r="E31" s="18">
        <f>D31-C31</f>
        <v>23276</v>
      </c>
      <c r="F31" s="18">
        <f>F30+'Sales'!E31</f>
        <v>2897</v>
      </c>
      <c r="G31" s="18">
        <v>14920</v>
      </c>
      <c r="H31" s="18">
        <f>D31-G31</f>
        <v>11130</v>
      </c>
      <c r="I31" s="18">
        <f>G31+H31-C31-E31</f>
        <v>0</v>
      </c>
      <c r="J31" s="18">
        <f>C31-G31</f>
        <v>-12146</v>
      </c>
      <c r="K31" s="18"/>
    </row>
    <row r="32" ht="20.05" customHeight="1">
      <c r="B32" s="31">
        <v>2022</v>
      </c>
      <c r="C32" s="17">
        <f>C31+'Cashflow'!D32+'Cashflow'!E32+'Cashflow'!H32</f>
        <v>3569.5</v>
      </c>
      <c r="D32" s="18">
        <v>27224</v>
      </c>
      <c r="E32" s="18">
        <f>D32-C32</f>
        <v>23654.5</v>
      </c>
      <c r="F32" s="18">
        <f>F31+'Sales'!E32</f>
        <v>2955</v>
      </c>
      <c r="G32" s="18">
        <v>15810</v>
      </c>
      <c r="H32" s="18">
        <f>D32-G32</f>
        <v>11414</v>
      </c>
      <c r="I32" s="18">
        <f>G32+H32-C32-E32</f>
        <v>0</v>
      </c>
      <c r="J32" s="18">
        <f>C32-G32</f>
        <v>-12240.5</v>
      </c>
      <c r="K32" s="18">
        <v>-11338.023105</v>
      </c>
    </row>
    <row r="33" ht="20.05" customHeight="1">
      <c r="B33" s="30"/>
      <c r="C33" s="17"/>
      <c r="D33" s="18"/>
      <c r="E33" s="18"/>
      <c r="F33" s="18"/>
      <c r="G33" s="18"/>
      <c r="H33" s="18"/>
      <c r="I33" s="18"/>
      <c r="J33" s="18"/>
      <c r="K33" s="18">
        <f>'Model'!F31</f>
        <v>-11338.98689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106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22.6719" style="36" customWidth="1"/>
    <col min="2" max="5" width="11.0547" style="36" customWidth="1"/>
    <col min="6" max="16384" width="16.3516" style="36" customWidth="1"/>
  </cols>
  <sheetData>
    <row r="1" ht="40" customHeight="1"/>
    <row r="2" ht="27.65" customHeight="1">
      <c r="B2" t="s" s="2">
        <v>54</v>
      </c>
      <c r="C2" s="2"/>
      <c r="D2" s="2"/>
      <c r="E2" s="2"/>
    </row>
    <row r="3" ht="20.25" customHeight="1">
      <c r="B3" s="4"/>
      <c r="C3" t="s" s="37">
        <v>55</v>
      </c>
      <c r="D3" t="s" s="37">
        <v>38</v>
      </c>
      <c r="E3" t="s" s="37">
        <v>56</v>
      </c>
    </row>
    <row r="4" ht="8.75" customHeight="1" hidden="1">
      <c r="B4" s="38">
        <v>2007</v>
      </c>
      <c r="C4" s="39">
        <v>298</v>
      </c>
      <c r="D4" s="40"/>
      <c r="E4" s="40"/>
    </row>
    <row r="5" ht="8.75" customHeight="1" hidden="1">
      <c r="B5" s="41"/>
      <c r="C5" s="39">
        <v>317</v>
      </c>
      <c r="D5" s="40"/>
      <c r="E5" s="40"/>
    </row>
    <row r="6" ht="8.75" customHeight="1" hidden="1">
      <c r="B6" s="41"/>
      <c r="C6" s="39">
        <v>261</v>
      </c>
      <c r="D6" s="40"/>
      <c r="E6" s="40"/>
    </row>
    <row r="7" ht="8.75" customHeight="1" hidden="1">
      <c r="B7" s="41"/>
      <c r="C7" s="39">
        <v>277</v>
      </c>
      <c r="D7" s="40"/>
      <c r="E7" s="40"/>
    </row>
    <row r="8" ht="8.75" customHeight="1" hidden="1">
      <c r="B8" s="41"/>
      <c r="C8" s="39">
        <v>366</v>
      </c>
      <c r="D8" s="40"/>
      <c r="E8" s="40"/>
    </row>
    <row r="9" ht="8.75" customHeight="1" hidden="1">
      <c r="B9" s="41"/>
      <c r="C9" s="39">
        <v>315</v>
      </c>
      <c r="D9" s="40"/>
      <c r="E9" s="40"/>
    </row>
    <row r="10" ht="8.75" customHeight="1" hidden="1">
      <c r="B10" s="41"/>
      <c r="C10" s="39">
        <v>383</v>
      </c>
      <c r="D10" s="40"/>
      <c r="E10" s="40"/>
    </row>
    <row r="11" ht="8.75" customHeight="1" hidden="1">
      <c r="B11" s="41"/>
      <c r="C11" s="39">
        <v>358</v>
      </c>
      <c r="D11" s="40"/>
      <c r="E11" s="40"/>
    </row>
    <row r="12" ht="8.75" customHeight="1" hidden="1">
      <c r="B12" s="41"/>
      <c r="C12" s="39">
        <v>353</v>
      </c>
      <c r="D12" s="40"/>
      <c r="E12" s="40"/>
    </row>
    <row r="13" ht="8.75" customHeight="1" hidden="1">
      <c r="B13" s="41"/>
      <c r="C13" s="39">
        <v>338</v>
      </c>
      <c r="D13" s="40"/>
      <c r="E13" s="40"/>
    </row>
    <row r="14" ht="8.75" customHeight="1" hidden="1">
      <c r="B14" s="41"/>
      <c r="C14" s="39">
        <v>270</v>
      </c>
      <c r="D14" s="40"/>
      <c r="E14" s="40"/>
    </row>
    <row r="15" ht="8.75" customHeight="1" hidden="1">
      <c r="B15" s="41"/>
      <c r="C15" s="39">
        <v>293</v>
      </c>
      <c r="D15" s="40"/>
      <c r="E15" s="40"/>
    </row>
    <row r="16" ht="8.75" customHeight="1" hidden="1">
      <c r="B16" s="38">
        <v>2008</v>
      </c>
      <c r="C16" s="39">
        <v>278</v>
      </c>
      <c r="D16" s="40"/>
      <c r="E16" s="40"/>
    </row>
    <row r="17" ht="8.75" customHeight="1" hidden="1">
      <c r="B17" s="41"/>
      <c r="C17" s="39">
        <v>225</v>
      </c>
      <c r="D17" s="40"/>
      <c r="E17" s="40"/>
    </row>
    <row r="18" ht="8.75" customHeight="1" hidden="1">
      <c r="B18" s="41"/>
      <c r="C18" s="39">
        <v>168</v>
      </c>
      <c r="D18" s="40"/>
      <c r="E18" s="40"/>
    </row>
    <row r="19" ht="8.75" customHeight="1" hidden="1">
      <c r="B19" s="41"/>
      <c r="C19" s="39">
        <v>155</v>
      </c>
      <c r="D19" s="40"/>
      <c r="E19" s="40"/>
    </row>
    <row r="20" ht="8.75" customHeight="1" hidden="1">
      <c r="B20" s="41"/>
      <c r="C20" s="39">
        <v>168</v>
      </c>
      <c r="D20" s="40"/>
      <c r="E20" s="40"/>
    </row>
    <row r="21" ht="8.75" customHeight="1" hidden="1">
      <c r="B21" s="41"/>
      <c r="C21" s="39">
        <v>130</v>
      </c>
      <c r="D21" s="40"/>
      <c r="E21" s="40"/>
    </row>
    <row r="22" ht="8.75" customHeight="1" hidden="1">
      <c r="B22" s="41"/>
      <c r="C22" s="39">
        <v>185</v>
      </c>
      <c r="D22" s="40"/>
      <c r="E22" s="40"/>
    </row>
    <row r="23" ht="8.75" customHeight="1" hidden="1">
      <c r="B23" s="41"/>
      <c r="C23" s="39">
        <v>165</v>
      </c>
      <c r="D23" s="40"/>
      <c r="E23" s="40"/>
    </row>
    <row r="24" ht="8.75" customHeight="1" hidden="1">
      <c r="B24" s="41"/>
      <c r="C24" s="39">
        <v>143</v>
      </c>
      <c r="D24" s="40"/>
      <c r="E24" s="40"/>
    </row>
    <row r="25" ht="8.75" customHeight="1" hidden="1">
      <c r="B25" s="41"/>
      <c r="C25" s="39">
        <v>103</v>
      </c>
      <c r="D25" s="40"/>
      <c r="E25" s="40"/>
    </row>
    <row r="26" ht="8.75" customHeight="1" hidden="1">
      <c r="B26" s="41"/>
      <c r="C26" s="39">
        <v>100</v>
      </c>
      <c r="D26" s="40"/>
      <c r="E26" s="40"/>
    </row>
    <row r="27" ht="8.75" customHeight="1" hidden="1">
      <c r="B27" s="41"/>
      <c r="C27" s="39">
        <v>83</v>
      </c>
      <c r="D27" s="40"/>
      <c r="E27" s="40"/>
    </row>
    <row r="28" ht="8.75" customHeight="1" hidden="1">
      <c r="B28" s="38">
        <v>2009</v>
      </c>
      <c r="C28" s="39">
        <v>80</v>
      </c>
      <c r="D28" s="40"/>
      <c r="E28" s="40"/>
    </row>
    <row r="29" ht="8.75" customHeight="1" hidden="1">
      <c r="B29" s="41"/>
      <c r="C29" s="39">
        <v>82</v>
      </c>
      <c r="D29" s="40"/>
      <c r="E29" s="40"/>
    </row>
    <row r="30" ht="8.75" customHeight="1" hidden="1">
      <c r="B30" s="41"/>
      <c r="C30" s="39">
        <v>96</v>
      </c>
      <c r="D30" s="40"/>
      <c r="E30" s="40"/>
    </row>
    <row r="31" ht="8.75" customHeight="1" hidden="1">
      <c r="B31" s="41"/>
      <c r="C31" s="39">
        <v>130</v>
      </c>
      <c r="D31" s="40"/>
      <c r="E31" s="40"/>
    </row>
    <row r="32" ht="8.75" customHeight="1" hidden="1">
      <c r="B32" s="41"/>
      <c r="C32" s="39">
        <v>178</v>
      </c>
      <c r="D32" s="40"/>
      <c r="E32" s="40"/>
    </row>
    <row r="33" ht="8.75" customHeight="1" hidden="1">
      <c r="B33" s="41"/>
      <c r="C33" s="39">
        <v>193</v>
      </c>
      <c r="D33" s="40"/>
      <c r="E33" s="40"/>
    </row>
    <row r="34" ht="8.75" customHeight="1" hidden="1">
      <c r="B34" s="41"/>
      <c r="C34" s="39">
        <v>275</v>
      </c>
      <c r="D34" s="40"/>
      <c r="E34" s="40"/>
    </row>
    <row r="35" ht="8.75" customHeight="1" hidden="1">
      <c r="B35" s="41"/>
      <c r="C35" s="39">
        <v>250</v>
      </c>
      <c r="D35" s="40"/>
      <c r="E35" s="40"/>
    </row>
    <row r="36" ht="8.75" customHeight="1" hidden="1">
      <c r="B36" s="41"/>
      <c r="C36" s="39">
        <v>290</v>
      </c>
      <c r="D36" s="40"/>
      <c r="E36" s="40"/>
    </row>
    <row r="37" ht="8.75" customHeight="1" hidden="1">
      <c r="B37" s="41"/>
      <c r="C37" s="39">
        <v>290</v>
      </c>
      <c r="D37" s="40"/>
      <c r="E37" s="40"/>
    </row>
    <row r="38" ht="8.75" customHeight="1" hidden="1">
      <c r="B38" s="41"/>
      <c r="C38" s="39">
        <v>300</v>
      </c>
      <c r="D38" s="40"/>
      <c r="E38" s="40"/>
    </row>
    <row r="39" ht="8.75" customHeight="1" hidden="1">
      <c r="B39" s="41"/>
      <c r="C39" s="39">
        <v>300</v>
      </c>
      <c r="D39" s="40"/>
      <c r="E39" s="40"/>
    </row>
    <row r="40" ht="8.75" customHeight="1" hidden="1">
      <c r="B40" s="38">
        <v>2010</v>
      </c>
      <c r="C40" s="39">
        <v>350</v>
      </c>
      <c r="D40" s="40"/>
      <c r="E40" s="40"/>
    </row>
    <row r="41" ht="8.75" customHeight="1" hidden="1">
      <c r="B41" s="41"/>
      <c r="C41" s="39">
        <v>360</v>
      </c>
      <c r="D41" s="40"/>
      <c r="E41" s="40"/>
    </row>
    <row r="42" ht="8.75" customHeight="1" hidden="1">
      <c r="B42" s="41"/>
      <c r="C42" s="39">
        <v>415</v>
      </c>
      <c r="D42" s="40"/>
      <c r="E42" s="40"/>
    </row>
    <row r="43" ht="8.75" customHeight="1" hidden="1">
      <c r="B43" s="41"/>
      <c r="C43" s="39">
        <v>490</v>
      </c>
      <c r="D43" s="40"/>
      <c r="E43" s="40"/>
    </row>
    <row r="44" ht="8.75" customHeight="1" hidden="1">
      <c r="B44" s="41"/>
      <c r="C44" s="39">
        <v>385</v>
      </c>
      <c r="D44" s="40"/>
      <c r="E44" s="40"/>
    </row>
    <row r="45" ht="8.75" customHeight="1" hidden="1">
      <c r="B45" s="41"/>
      <c r="C45" s="39">
        <v>425</v>
      </c>
      <c r="D45" s="40"/>
      <c r="E45" s="40"/>
    </row>
    <row r="46" ht="8.75" customHeight="1" hidden="1">
      <c r="B46" s="41"/>
      <c r="C46" s="39">
        <v>465</v>
      </c>
      <c r="D46" s="40"/>
      <c r="E46" s="40"/>
    </row>
    <row r="47" ht="8.75" customHeight="1" hidden="1">
      <c r="B47" s="41"/>
      <c r="C47" s="39">
        <v>460</v>
      </c>
      <c r="D47" s="40"/>
      <c r="E47" s="40"/>
    </row>
    <row r="48" ht="8.75" customHeight="1" hidden="1">
      <c r="B48" s="41"/>
      <c r="C48" s="39">
        <v>550</v>
      </c>
      <c r="D48" s="40"/>
      <c r="E48" s="40"/>
    </row>
    <row r="49" ht="8.75" customHeight="1" hidden="1">
      <c r="B49" s="41"/>
      <c r="C49" s="39">
        <v>565</v>
      </c>
      <c r="D49" s="40"/>
      <c r="E49" s="40"/>
    </row>
    <row r="50" ht="8.75" customHeight="1" hidden="1">
      <c r="B50" s="41"/>
      <c r="C50" s="39">
        <v>580</v>
      </c>
      <c r="D50" s="40"/>
      <c r="E50" s="40"/>
    </row>
    <row r="51" ht="8.75" customHeight="1" hidden="1">
      <c r="B51" s="41"/>
      <c r="C51" s="39">
        <v>545</v>
      </c>
      <c r="D51" s="40"/>
      <c r="E51" s="40"/>
    </row>
    <row r="52" ht="8.75" customHeight="1" hidden="1">
      <c r="B52" s="38">
        <v>2011</v>
      </c>
      <c r="C52" s="39">
        <v>435</v>
      </c>
      <c r="D52" s="40"/>
      <c r="E52" s="40"/>
    </row>
    <row r="53" ht="8.75" customHeight="1" hidden="1">
      <c r="B53" s="41"/>
      <c r="C53" s="39">
        <v>500</v>
      </c>
      <c r="D53" s="40"/>
      <c r="E53" s="40"/>
    </row>
    <row r="54" ht="8.75" customHeight="1" hidden="1">
      <c r="B54" s="41"/>
      <c r="C54" s="39">
        <v>580</v>
      </c>
      <c r="D54" s="40"/>
      <c r="E54" s="40"/>
    </row>
    <row r="55" ht="8.75" customHeight="1" hidden="1">
      <c r="B55" s="41"/>
      <c r="C55" s="39">
        <v>630</v>
      </c>
      <c r="D55" s="40"/>
      <c r="E55" s="40"/>
    </row>
    <row r="56" ht="8.75" customHeight="1" hidden="1">
      <c r="B56" s="41"/>
      <c r="C56" s="39">
        <v>570</v>
      </c>
      <c r="D56" s="40"/>
      <c r="E56" s="40"/>
    </row>
    <row r="57" ht="8.75" customHeight="1" hidden="1">
      <c r="B57" s="41"/>
      <c r="C57" s="39">
        <v>570</v>
      </c>
      <c r="D57" s="40"/>
      <c r="E57" s="40"/>
    </row>
    <row r="58" ht="8.75" customHeight="1" hidden="1">
      <c r="B58" s="41"/>
      <c r="C58" s="39">
        <v>640</v>
      </c>
      <c r="D58" s="40"/>
      <c r="E58" s="40"/>
    </row>
    <row r="59" ht="8.75" customHeight="1" hidden="1">
      <c r="B59" s="41"/>
      <c r="C59" s="39">
        <v>605</v>
      </c>
      <c r="D59" s="40"/>
      <c r="E59" s="40"/>
    </row>
    <row r="60" ht="8.75" customHeight="1" hidden="1">
      <c r="B60" s="41"/>
      <c r="C60" s="39">
        <v>500</v>
      </c>
      <c r="D60" s="40"/>
      <c r="E60" s="40"/>
    </row>
    <row r="61" ht="8.75" customHeight="1" hidden="1">
      <c r="B61" s="41"/>
      <c r="C61" s="39">
        <v>585</v>
      </c>
      <c r="D61" s="40"/>
      <c r="E61" s="40"/>
    </row>
    <row r="62" ht="8.75" customHeight="1" hidden="1">
      <c r="B62" s="41"/>
      <c r="C62" s="39">
        <v>530</v>
      </c>
      <c r="D62" s="40"/>
      <c r="E62" s="40"/>
    </row>
    <row r="63" ht="8.75" customHeight="1" hidden="1">
      <c r="B63" s="41"/>
      <c r="C63" s="39">
        <v>620</v>
      </c>
      <c r="D63" s="40"/>
      <c r="E63" s="40"/>
    </row>
    <row r="64" ht="8.75" customHeight="1" hidden="1">
      <c r="B64" s="38">
        <v>2012</v>
      </c>
      <c r="C64" s="39">
        <v>600</v>
      </c>
      <c r="D64" s="40"/>
      <c r="E64" s="40"/>
    </row>
    <row r="65" ht="8.75" customHeight="1" hidden="1">
      <c r="B65" s="41"/>
      <c r="C65" s="39">
        <v>645</v>
      </c>
      <c r="D65" s="40"/>
      <c r="E65" s="40"/>
    </row>
    <row r="66" ht="8.75" customHeight="1" hidden="1">
      <c r="B66" s="41"/>
      <c r="C66" s="39">
        <v>785</v>
      </c>
      <c r="D66" s="40"/>
      <c r="E66" s="40"/>
    </row>
    <row r="67" ht="8.75" customHeight="1" hidden="1">
      <c r="B67" s="41"/>
      <c r="C67" s="39">
        <v>865</v>
      </c>
      <c r="D67" s="40"/>
      <c r="E67" s="40"/>
    </row>
    <row r="68" ht="8.75" customHeight="1" hidden="1">
      <c r="B68" s="41"/>
      <c r="C68" s="39">
        <v>710</v>
      </c>
      <c r="D68" s="40"/>
      <c r="E68" s="40"/>
    </row>
    <row r="69" ht="8.75" customHeight="1" hidden="1">
      <c r="B69" s="41"/>
      <c r="C69" s="39">
        <v>810</v>
      </c>
      <c r="D69" s="40"/>
      <c r="E69" s="40"/>
    </row>
    <row r="70" ht="8.75" customHeight="1" hidden="1">
      <c r="B70" s="41"/>
      <c r="C70" s="39">
        <v>810</v>
      </c>
      <c r="D70" s="40"/>
      <c r="E70" s="40"/>
    </row>
    <row r="71" ht="8.75" customHeight="1" hidden="1">
      <c r="B71" s="41"/>
      <c r="C71" s="39">
        <v>735</v>
      </c>
      <c r="D71" s="40"/>
      <c r="E71" s="40"/>
    </row>
    <row r="72" ht="8.75" customHeight="1" hidden="1">
      <c r="B72" s="41"/>
      <c r="C72" s="39">
        <v>840</v>
      </c>
      <c r="D72" s="40"/>
      <c r="E72" s="40"/>
    </row>
    <row r="73" ht="8.75" customHeight="1" hidden="1">
      <c r="B73" s="41"/>
      <c r="C73" s="39">
        <v>875</v>
      </c>
      <c r="D73" s="40"/>
      <c r="E73" s="40"/>
    </row>
    <row r="74" ht="8.75" customHeight="1" hidden="1">
      <c r="B74" s="41"/>
      <c r="C74" s="39">
        <v>960</v>
      </c>
      <c r="D74" s="40"/>
      <c r="E74" s="40"/>
    </row>
    <row r="75" ht="8.75" customHeight="1" hidden="1">
      <c r="B75" s="41"/>
      <c r="C75" s="39">
        <v>950</v>
      </c>
      <c r="D75" s="40"/>
      <c r="E75" s="40"/>
    </row>
    <row r="76" ht="8.75" customHeight="1" hidden="1">
      <c r="B76" s="38">
        <v>2013</v>
      </c>
      <c r="C76" s="39">
        <v>945</v>
      </c>
      <c r="D76" s="40"/>
      <c r="E76" s="40"/>
    </row>
    <row r="77" ht="8.75" customHeight="1" hidden="1">
      <c r="B77" s="41"/>
      <c r="C77" s="42">
        <v>1163</v>
      </c>
      <c r="D77" s="40"/>
      <c r="E77" s="40"/>
    </row>
    <row r="78" ht="8.75" customHeight="1" hidden="1">
      <c r="B78" s="41"/>
      <c r="C78" s="42">
        <v>1238</v>
      </c>
      <c r="D78" s="40"/>
      <c r="E78" s="40"/>
    </row>
    <row r="79" ht="8.75" customHeight="1" hidden="1">
      <c r="B79" s="41"/>
      <c r="C79" s="42">
        <v>1300</v>
      </c>
      <c r="D79" s="40"/>
      <c r="E79" s="40"/>
    </row>
    <row r="80" ht="8.75" customHeight="1" hidden="1">
      <c r="B80" s="41"/>
      <c r="C80" s="42">
        <v>1400</v>
      </c>
      <c r="D80" s="40"/>
      <c r="E80" s="40"/>
    </row>
    <row r="81" ht="8.75" customHeight="1" hidden="1">
      <c r="B81" s="41"/>
      <c r="C81" s="42">
        <v>1290</v>
      </c>
      <c r="D81" s="40"/>
      <c r="E81" s="40"/>
    </row>
    <row r="82" ht="8.75" customHeight="1" hidden="1">
      <c r="B82" s="41"/>
      <c r="C82" s="42">
        <v>1000</v>
      </c>
      <c r="D82" s="40"/>
      <c r="E82" s="40"/>
    </row>
    <row r="83" ht="8.75" customHeight="1" hidden="1">
      <c r="B83" s="41"/>
      <c r="C83" s="39">
        <v>780</v>
      </c>
      <c r="D83" s="40"/>
      <c r="E83" s="40"/>
    </row>
    <row r="84" ht="8.75" customHeight="1" hidden="1">
      <c r="B84" s="41"/>
      <c r="C84" s="39">
        <v>930</v>
      </c>
      <c r="D84" s="40"/>
      <c r="E84" s="40"/>
    </row>
    <row r="85" ht="8.75" customHeight="1" hidden="1">
      <c r="B85" s="41"/>
      <c r="C85" s="42">
        <v>1050</v>
      </c>
      <c r="D85" s="40"/>
      <c r="E85" s="40"/>
    </row>
    <row r="86" ht="8.75" customHeight="1" hidden="1">
      <c r="B86" s="41"/>
      <c r="C86" s="39">
        <v>900</v>
      </c>
      <c r="D86" s="40"/>
      <c r="E86" s="40"/>
    </row>
    <row r="87" ht="8.75" customHeight="1" hidden="1">
      <c r="B87" s="41"/>
      <c r="C87" s="39">
        <v>780</v>
      </c>
      <c r="D87" s="40"/>
      <c r="E87" s="40"/>
    </row>
    <row r="88" ht="20.25" customHeight="1">
      <c r="B88" s="25">
        <v>2018</v>
      </c>
      <c r="C88" s="26">
        <v>905</v>
      </c>
      <c r="D88" s="28"/>
      <c r="E88" s="28"/>
    </row>
    <row r="89" ht="20.05" customHeight="1">
      <c r="B89" s="30"/>
      <c r="C89" s="17">
        <v>905</v>
      </c>
      <c r="D89" s="18"/>
      <c r="E89" s="18"/>
    </row>
    <row r="90" ht="20.05" customHeight="1">
      <c r="B90" s="30"/>
      <c r="C90" s="17">
        <v>655</v>
      </c>
      <c r="D90" s="18"/>
      <c r="E90" s="18"/>
    </row>
    <row r="91" ht="20.05" customHeight="1">
      <c r="B91" s="30"/>
      <c r="C91" s="17">
        <v>805</v>
      </c>
      <c r="D91" s="18"/>
      <c r="E91" s="18"/>
    </row>
    <row r="92" ht="20.05" customHeight="1">
      <c r="B92" s="31">
        <v>2019</v>
      </c>
      <c r="C92" s="17">
        <v>940</v>
      </c>
      <c r="D92" s="18"/>
      <c r="E92" s="18"/>
    </row>
    <row r="93" ht="20.05" customHeight="1">
      <c r="B93" s="30"/>
      <c r="C93" s="43">
        <v>1220</v>
      </c>
      <c r="D93" s="18"/>
      <c r="E93" s="18"/>
    </row>
    <row r="94" ht="20.05" customHeight="1">
      <c r="B94" s="30"/>
      <c r="C94" s="43">
        <v>1155</v>
      </c>
      <c r="D94" s="18"/>
      <c r="E94" s="18"/>
    </row>
    <row r="95" ht="20.05" customHeight="1">
      <c r="B95" s="30"/>
      <c r="C95" s="43">
        <v>1005</v>
      </c>
      <c r="D95" s="18"/>
      <c r="E95" s="18"/>
    </row>
    <row r="96" ht="20.05" customHeight="1">
      <c r="B96" s="31">
        <v>2020</v>
      </c>
      <c r="C96" s="43">
        <v>400</v>
      </c>
      <c r="D96" s="18"/>
      <c r="E96" s="18"/>
    </row>
    <row r="97" ht="20.05" customHeight="1">
      <c r="B97" s="30"/>
      <c r="C97" s="43">
        <v>585</v>
      </c>
      <c r="D97" s="18"/>
      <c r="E97" s="18"/>
    </row>
    <row r="98" ht="20.05" customHeight="1">
      <c r="B98" s="30"/>
      <c r="C98" s="43">
        <v>555</v>
      </c>
      <c r="D98" s="18"/>
      <c r="E98" s="18"/>
    </row>
    <row r="99" ht="20.05" customHeight="1">
      <c r="B99" s="30"/>
      <c r="C99" s="43">
        <v>805</v>
      </c>
      <c r="D99" s="18"/>
      <c r="E99" s="18"/>
    </row>
    <row r="100" ht="20.05" customHeight="1">
      <c r="B100" s="31">
        <v>2021</v>
      </c>
      <c r="C100" s="17">
        <v>940</v>
      </c>
      <c r="D100" s="18"/>
      <c r="E100" s="18"/>
    </row>
    <row r="101" ht="20.05" customHeight="1">
      <c r="B101" s="30"/>
      <c r="C101" s="17">
        <v>850</v>
      </c>
      <c r="D101" s="18"/>
      <c r="E101" s="18"/>
    </row>
    <row r="102" ht="20.05" customHeight="1">
      <c r="B102" s="30"/>
      <c r="C102" s="17">
        <v>845</v>
      </c>
      <c r="D102" s="18"/>
      <c r="E102" s="18"/>
    </row>
    <row r="103" ht="20.05" customHeight="1">
      <c r="B103" s="30"/>
      <c r="C103" s="17">
        <v>835</v>
      </c>
      <c r="D103" s="18">
        <f>C103</f>
        <v>835</v>
      </c>
      <c r="E103" s="34"/>
    </row>
    <row r="104" ht="20.05" customHeight="1">
      <c r="B104" s="31">
        <v>2022</v>
      </c>
      <c r="C104" s="21">
        <v>770</v>
      </c>
      <c r="D104" s="18">
        <v>942</v>
      </c>
      <c r="E104" s="34"/>
    </row>
    <row r="105" ht="20.05" customHeight="1">
      <c r="B105" s="30"/>
      <c r="C105" s="17">
        <v>710</v>
      </c>
      <c r="D105" s="18">
        <f>C105</f>
        <v>710</v>
      </c>
      <c r="E105" s="18"/>
    </row>
    <row r="106" ht="20.05" customHeight="1">
      <c r="B106" s="30"/>
      <c r="C106" s="17"/>
      <c r="D106" s="18">
        <f>'Model'!F44</f>
        <v>1168.809570286880</v>
      </c>
      <c r="E106" s="18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dimension ref="A2:V40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0" width="12.6484" style="44" customWidth="1"/>
    <col min="11" max="22" width="11.375" style="45" customWidth="1"/>
    <col min="23" max="16384" width="16.3516" style="45" customWidth="1"/>
  </cols>
  <sheetData>
    <row r="1" ht="27.65" customHeight="1">
      <c r="A1" t="s" s="2">
        <v>57</v>
      </c>
      <c r="B1" s="2"/>
      <c r="C1" s="2"/>
      <c r="D1" s="2"/>
      <c r="E1" s="2"/>
      <c r="F1" s="2"/>
      <c r="G1" s="2"/>
      <c r="H1" s="2"/>
      <c r="I1" s="2"/>
      <c r="J1" s="2"/>
    </row>
    <row r="2" ht="20.25" customHeight="1">
      <c r="A2" t="s" s="5">
        <v>1</v>
      </c>
      <c r="B2" t="s" s="5">
        <v>11</v>
      </c>
      <c r="C2" t="s" s="5">
        <v>26</v>
      </c>
      <c r="D2" t="s" s="5">
        <v>58</v>
      </c>
      <c r="E2" t="s" s="5">
        <v>11</v>
      </c>
      <c r="F2" t="s" s="5">
        <v>26</v>
      </c>
      <c r="G2" t="s" s="5">
        <v>58</v>
      </c>
      <c r="H2" s="4"/>
      <c r="I2" s="4"/>
      <c r="J2" s="4"/>
    </row>
    <row r="3" ht="20.25" customHeight="1">
      <c r="A3" s="25">
        <v>2008</v>
      </c>
      <c r="B3" s="26">
        <f>469+9-C3</f>
        <v>508</v>
      </c>
      <c r="C3" s="28">
        <v>-30</v>
      </c>
      <c r="D3" s="28">
        <f>B3+C3</f>
        <v>478</v>
      </c>
      <c r="E3" s="28">
        <f>B3</f>
        <v>508</v>
      </c>
      <c r="F3" s="28">
        <f>C3</f>
        <v>-30</v>
      </c>
      <c r="G3" s="28">
        <f>D3</f>
        <v>478</v>
      </c>
      <c r="H3" s="8"/>
      <c r="I3" s="8"/>
      <c r="J3" s="8"/>
    </row>
    <row r="4" ht="20.05" customHeight="1">
      <c r="A4" s="31">
        <f>1+$A3</f>
        <v>2009</v>
      </c>
      <c r="B4" s="17">
        <f>-181+3-C4</f>
        <v>-159</v>
      </c>
      <c r="C4" s="18">
        <v>-19</v>
      </c>
      <c r="D4" s="18">
        <f>B4+C4</f>
        <v>-178</v>
      </c>
      <c r="E4" s="18">
        <f>B4+E3</f>
        <v>349</v>
      </c>
      <c r="F4" s="18">
        <f>C4+F3</f>
        <v>-49</v>
      </c>
      <c r="G4" s="18">
        <f>D4+G3</f>
        <v>300</v>
      </c>
      <c r="H4" s="34"/>
      <c r="I4" s="34"/>
      <c r="J4" s="34"/>
    </row>
    <row r="5" ht="20.05" customHeight="1">
      <c r="A5" s="31">
        <f>1+$A4</f>
        <v>2010</v>
      </c>
      <c r="B5" s="17">
        <f>42-275</f>
        <v>-233</v>
      </c>
      <c r="C5" s="18">
        <f>240-55</f>
        <v>185</v>
      </c>
      <c r="D5" s="18">
        <f>B5+C5</f>
        <v>-48</v>
      </c>
      <c r="E5" s="18">
        <f>B5+E4</f>
        <v>116</v>
      </c>
      <c r="F5" s="18">
        <f>C5+F4</f>
        <v>136</v>
      </c>
      <c r="G5" s="18">
        <f>D5+G4</f>
        <v>252</v>
      </c>
      <c r="H5" s="34"/>
      <c r="I5" s="34"/>
      <c r="J5" s="34"/>
    </row>
    <row r="6" ht="20.05" customHeight="1">
      <c r="A6" s="31">
        <f>1+$A5</f>
        <v>2011</v>
      </c>
      <c r="B6" s="17">
        <f>504-157</f>
        <v>347</v>
      </c>
      <c r="C6" s="18">
        <v>-69</v>
      </c>
      <c r="D6" s="18">
        <f>B6+C6</f>
        <v>278</v>
      </c>
      <c r="E6" s="18">
        <f>B6+E5</f>
        <v>463</v>
      </c>
      <c r="F6" s="18">
        <f>C6+F5</f>
        <v>67</v>
      </c>
      <c r="G6" s="18">
        <f>D6+G5</f>
        <v>530</v>
      </c>
      <c r="H6" s="34"/>
      <c r="I6" s="34"/>
      <c r="J6" s="34"/>
    </row>
    <row r="7" ht="20.05" customHeight="1">
      <c r="A7" s="31">
        <f>1+$A6</f>
        <v>2012</v>
      </c>
      <c r="B7" s="17">
        <f>215-228</f>
        <v>-13</v>
      </c>
      <c r="C7" s="18">
        <f>528-158</f>
        <v>370</v>
      </c>
      <c r="D7" s="18">
        <f>B7+C7</f>
        <v>357</v>
      </c>
      <c r="E7" s="18">
        <f>B7+E6</f>
        <v>450</v>
      </c>
      <c r="F7" s="18">
        <f>C7+F6</f>
        <v>437</v>
      </c>
      <c r="G7" s="18">
        <f>D7+G6</f>
        <v>887</v>
      </c>
      <c r="H7" s="34"/>
      <c r="I7" s="34"/>
      <c r="J7" s="34"/>
    </row>
    <row r="8" ht="20.05" customHeight="1">
      <c r="A8" s="31">
        <f>1+$A7</f>
        <v>2013</v>
      </c>
      <c r="B8" s="17">
        <f>1265+590-499</f>
        <v>1356</v>
      </c>
      <c r="C8" s="18">
        <v>-310</v>
      </c>
      <c r="D8" s="18">
        <f>B8+C8</f>
        <v>1046</v>
      </c>
      <c r="E8" s="18">
        <f>B8+E7</f>
        <v>1806</v>
      </c>
      <c r="F8" s="18">
        <f>C8+F7</f>
        <v>127</v>
      </c>
      <c r="G8" s="18">
        <f>D8+G7</f>
        <v>1933</v>
      </c>
      <c r="H8" s="34"/>
      <c r="I8" s="34"/>
      <c r="J8" s="34"/>
    </row>
    <row r="9" ht="20.05" customHeight="1">
      <c r="A9" s="31">
        <f>1+$A8</f>
        <v>2014</v>
      </c>
      <c r="B9" s="17">
        <f>1052+1092-278+54</f>
        <v>1920</v>
      </c>
      <c r="C9" s="18">
        <f>62-331-2</f>
        <v>-271</v>
      </c>
      <c r="D9" s="18">
        <f>B9+C9</f>
        <v>1649</v>
      </c>
      <c r="E9" s="18">
        <f>B9+E8</f>
        <v>3726</v>
      </c>
      <c r="F9" s="18">
        <f>C9+F8</f>
        <v>-144</v>
      </c>
      <c r="G9" s="18">
        <f>D9+G8</f>
        <v>3582</v>
      </c>
      <c r="H9" s="34"/>
      <c r="I9" s="34"/>
      <c r="J9" s="34"/>
    </row>
    <row r="10" ht="20.05" customHeight="1">
      <c r="A10" s="31">
        <f>1+$A9</f>
        <v>2015</v>
      </c>
      <c r="B10" s="17">
        <f>2062-793-1060-51+42</f>
        <v>200</v>
      </c>
      <c r="C10" s="18">
        <f>160-288</f>
        <v>-128</v>
      </c>
      <c r="D10" s="18">
        <f>B10+C10</f>
        <v>72</v>
      </c>
      <c r="E10" s="18">
        <f>B10+E9</f>
        <v>3926</v>
      </c>
      <c r="F10" s="18">
        <f>C10+F9</f>
        <v>-272</v>
      </c>
      <c r="G10" s="18">
        <f>D10+G9</f>
        <v>3654</v>
      </c>
      <c r="H10" s="34"/>
      <c r="I10" s="34"/>
      <c r="J10" s="34"/>
    </row>
    <row r="11" ht="20.05" customHeight="1">
      <c r="A11" s="31">
        <f>1+$A10</f>
        <v>2016</v>
      </c>
      <c r="B11" s="17">
        <f>2241+77-1018+26-68</f>
        <v>1258</v>
      </c>
      <c r="C11" s="18">
        <f>133-72-21</f>
        <v>40</v>
      </c>
      <c r="D11" s="18">
        <f>B11+C11</f>
        <v>1298</v>
      </c>
      <c r="E11" s="18">
        <f>B11+E10</f>
        <v>5184</v>
      </c>
      <c r="F11" s="18">
        <f>C11+F10</f>
        <v>-232</v>
      </c>
      <c r="G11" s="18">
        <f>D11+G10</f>
        <v>4952</v>
      </c>
      <c r="H11" s="34"/>
      <c r="I11" s="34"/>
      <c r="J11" s="34"/>
    </row>
    <row r="12" ht="20.05" customHeight="1">
      <c r="A12" s="31">
        <f>1+$A11</f>
        <v>2017</v>
      </c>
      <c r="B12" s="17">
        <f>2726+795+46-2988</f>
        <v>579</v>
      </c>
      <c r="C12" s="18">
        <v>-72</v>
      </c>
      <c r="D12" s="18">
        <f>B12+C12</f>
        <v>507</v>
      </c>
      <c r="E12" s="18">
        <f>B12+E11</f>
        <v>5763</v>
      </c>
      <c r="F12" s="18">
        <f>C12+F11</f>
        <v>-304</v>
      </c>
      <c r="G12" s="18">
        <f>D12+G11</f>
        <v>5459</v>
      </c>
      <c r="H12" s="34"/>
      <c r="I12" s="34"/>
      <c r="J12" s="34"/>
    </row>
    <row r="13" ht="20.05" customHeight="1">
      <c r="A13" s="31">
        <f>1+$A12</f>
        <v>2018</v>
      </c>
      <c r="B13" s="17">
        <f>2960+413-124-1840-900</f>
        <v>509</v>
      </c>
      <c r="C13" s="18">
        <f>169-72-12</f>
        <v>85</v>
      </c>
      <c r="D13" s="18">
        <f>B13+C13</f>
        <v>594</v>
      </c>
      <c r="E13" s="18">
        <f>B13+E12</f>
        <v>6272</v>
      </c>
      <c r="F13" s="18">
        <f>C13+F12</f>
        <v>-219</v>
      </c>
      <c r="G13" s="18">
        <f>D13+G12</f>
        <v>6053</v>
      </c>
      <c r="H13" s="34"/>
      <c r="I13" s="34"/>
      <c r="J13" s="34"/>
    </row>
    <row r="14" ht="20.05" customHeight="1">
      <c r="A14" s="31">
        <f>1+$A13</f>
        <v>2019</v>
      </c>
      <c r="B14" s="17">
        <f>4134+696+95-3364-1100</f>
        <v>461</v>
      </c>
      <c r="C14" s="18">
        <f t="shared" si="73" ref="C14:C15">91-72</f>
        <v>19</v>
      </c>
      <c r="D14" s="18">
        <f>B14+C14</f>
        <v>480</v>
      </c>
      <c r="E14" s="18">
        <f>B14+E13</f>
        <v>6733</v>
      </c>
      <c r="F14" s="18">
        <f>C14+F13</f>
        <v>-200</v>
      </c>
      <c r="G14" s="18">
        <f>D14+G13</f>
        <v>6533</v>
      </c>
      <c r="H14" s="34"/>
      <c r="I14" s="34"/>
      <c r="J14" s="34"/>
    </row>
    <row r="15" ht="20.05" customHeight="1">
      <c r="A15" s="31">
        <f>1+$A14</f>
        <v>2020</v>
      </c>
      <c r="B15" s="17">
        <f>4134-3364-1100+696</f>
        <v>366</v>
      </c>
      <c r="C15" s="18">
        <f t="shared" si="73"/>
        <v>19</v>
      </c>
      <c r="D15" s="18">
        <f>B15+C15</f>
        <v>385</v>
      </c>
      <c r="E15" s="18">
        <f>B15+E14</f>
        <v>7099</v>
      </c>
      <c r="F15" s="18">
        <f>C15+F14</f>
        <v>-181</v>
      </c>
      <c r="G15" s="18">
        <f>D15+G14</f>
        <v>6918</v>
      </c>
      <c r="H15" s="34"/>
      <c r="I15" s="34"/>
      <c r="J15" s="34"/>
    </row>
    <row r="16" ht="20.05" customHeight="1">
      <c r="A16" s="31">
        <f>1+$A15</f>
        <v>2021</v>
      </c>
      <c r="B16" s="17">
        <f>SUM('Cashflow'!F28:F31)</f>
        <v>-2420</v>
      </c>
      <c r="C16" s="18">
        <f>SUM('Cashflow'!G28:G31)</f>
        <v>1674</v>
      </c>
      <c r="D16" s="18">
        <f>B16+C16</f>
        <v>-746</v>
      </c>
      <c r="E16" s="18">
        <f>B16+E15</f>
        <v>4679</v>
      </c>
      <c r="F16" s="18">
        <f>C16+F15</f>
        <v>1493</v>
      </c>
      <c r="G16" s="18">
        <f>D16+G15</f>
        <v>6172</v>
      </c>
      <c r="H16" s="18">
        <f>AVERAGE(D3:D16)</f>
        <v>440.857142857143</v>
      </c>
      <c r="I16" s="18">
        <f>AVERAGE(D12:D16)</f>
        <v>244</v>
      </c>
      <c r="J16" s="22">
        <f>D16</f>
        <v>-746</v>
      </c>
    </row>
    <row r="18" ht="27.65" customHeight="1">
      <c r="K18" t="s" s="2">
        <v>59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ht="20.25" customHeight="1"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ht="20.25" customHeight="1">
      <c r="K20" s="46"/>
      <c r="L20" t="s" s="47">
        <v>60</v>
      </c>
      <c r="M20" s="48">
        <v>11721106259968</v>
      </c>
      <c r="N20" s="8"/>
      <c r="O20" s="8"/>
      <c r="P20" s="8"/>
      <c r="Q20" s="8"/>
      <c r="R20" s="8"/>
      <c r="S20" s="8"/>
      <c r="T20" s="8"/>
      <c r="U20" s="8"/>
      <c r="V20" s="8"/>
    </row>
    <row r="21" ht="32.05" customHeight="1">
      <c r="K21" s="30"/>
      <c r="L21" t="s" s="49">
        <v>55</v>
      </c>
      <c r="M21" t="s" s="50">
        <v>61</v>
      </c>
      <c r="N21" s="16">
        <f>T40</f>
        <v>-0.0636458695496919</v>
      </c>
      <c r="O21" t="s" s="50">
        <f>U40</f>
        <v>62</v>
      </c>
      <c r="P21" t="s" s="50">
        <f>V40</f>
        <v>63</v>
      </c>
      <c r="Q21" s="34"/>
      <c r="R21" s="34"/>
      <c r="S21" s="34"/>
      <c r="T21" s="34"/>
      <c r="U21" s="34"/>
      <c r="V21" s="34"/>
    </row>
    <row r="22" ht="20.05" customHeight="1">
      <c r="K22" s="30"/>
      <c r="L22" s="51">
        <v>44646</v>
      </c>
      <c r="M22" s="34"/>
      <c r="N22" s="34"/>
      <c r="O22" s="34"/>
      <c r="P22" s="34"/>
      <c r="Q22" s="34"/>
      <c r="R22" s="34"/>
      <c r="S22" s="34"/>
      <c r="T22" s="34"/>
      <c r="U22" s="34"/>
      <c r="V22" s="34"/>
    </row>
    <row r="23" ht="20.05" customHeight="1">
      <c r="K23" s="30"/>
      <c r="L23" t="s" s="49">
        <v>64</v>
      </c>
      <c r="M23" s="22">
        <f>$A3</f>
        <v>2008</v>
      </c>
      <c r="N23" s="34"/>
      <c r="O23" s="34"/>
      <c r="P23" s="34"/>
      <c r="Q23" s="34"/>
      <c r="R23" s="34"/>
      <c r="S23" s="34"/>
      <c r="T23" s="34"/>
      <c r="U23" s="34"/>
      <c r="V23" s="34"/>
    </row>
    <row r="24" ht="32.05" customHeight="1">
      <c r="K24" s="30"/>
      <c r="L24" t="s" s="49">
        <v>65</v>
      </c>
      <c r="M24" s="22">
        <f>(2022-M23)*4</f>
        <v>56</v>
      </c>
      <c r="N24" s="34"/>
      <c r="O24" s="34"/>
      <c r="P24" s="34"/>
      <c r="Q24" s="34"/>
      <c r="R24" s="34"/>
      <c r="S24" s="34"/>
      <c r="T24" s="34"/>
      <c r="U24" s="34"/>
      <c r="V24" s="34"/>
    </row>
    <row r="25" ht="32.05" customHeight="1">
      <c r="K25" s="30"/>
      <c r="L25" t="s" s="49">
        <v>66</v>
      </c>
      <c r="M25" s="18">
        <f>(M20/1000000000)</f>
        <v>11721.106259968</v>
      </c>
      <c r="N25" s="34"/>
      <c r="O25" s="34"/>
      <c r="P25" s="34"/>
      <c r="Q25" s="34"/>
      <c r="R25" s="34"/>
      <c r="S25" s="34"/>
      <c r="T25" s="34"/>
      <c r="U25" s="34"/>
      <c r="V25" s="34"/>
    </row>
    <row r="26" ht="20.05" customHeight="1">
      <c r="K26" s="30"/>
      <c r="L26" t="s" s="49">
        <v>11</v>
      </c>
      <c r="M26" s="18">
        <f>R30</f>
        <v>4679</v>
      </c>
      <c r="N26" t="s" s="50">
        <f>R27</f>
        <v>67</v>
      </c>
      <c r="O26" t="s" s="50">
        <f>IF(M26&gt;0,"raised","paid")</f>
        <v>68</v>
      </c>
      <c r="P26" s="34"/>
      <c r="Q26" s="34"/>
      <c r="R26" s="34"/>
      <c r="S26" s="34"/>
      <c r="T26" s="34"/>
      <c r="U26" s="34"/>
      <c r="V26" s="34"/>
    </row>
    <row r="27" ht="32.05" customHeight="1">
      <c r="K27" s="30"/>
      <c r="L27" t="s" s="49">
        <f>L21</f>
        <v>55</v>
      </c>
      <c r="M27" t="s" s="50">
        <v>69</v>
      </c>
      <c r="N27" t="s" s="50">
        <f>IF(Q27&gt;0,"raised","paid")</f>
        <v>68</v>
      </c>
      <c r="O27" t="s" s="50">
        <v>70</v>
      </c>
      <c r="P27" t="s" s="50">
        <v>71</v>
      </c>
      <c r="Q27" s="18">
        <f>AVERAGE(B3:B16)</f>
        <v>334.214285714286</v>
      </c>
      <c r="R27" t="s" s="50">
        <v>67</v>
      </c>
      <c r="S27" t="s" s="50">
        <v>72</v>
      </c>
      <c r="T27" s="16">
        <f>Q27/M25</f>
        <v>0.0285138858313873</v>
      </c>
      <c r="U27" t="s" s="50">
        <v>62</v>
      </c>
      <c r="V27" s="34"/>
    </row>
    <row r="28" ht="32.05" customHeight="1">
      <c r="K28" s="30"/>
      <c r="L28" t="s" s="49">
        <v>73</v>
      </c>
      <c r="M28" t="s" s="50">
        <f>O27</f>
        <v>70</v>
      </c>
      <c r="N28" t="s" s="50">
        <v>74</v>
      </c>
      <c r="O28" t="s" s="50">
        <f>IF(Q28&gt;0,"raised","paid")</f>
        <v>75</v>
      </c>
      <c r="P28" t="s" s="50">
        <v>71</v>
      </c>
      <c r="Q28" s="18">
        <f>AVERAGE(B12:B16)</f>
        <v>-101</v>
      </c>
      <c r="R28" t="s" s="50">
        <f>R27</f>
        <v>67</v>
      </c>
      <c r="S28" t="s" s="50">
        <v>72</v>
      </c>
      <c r="T28" s="16">
        <f>Q28/M25</f>
        <v>-0.008616934081124499</v>
      </c>
      <c r="U28" t="s" s="50">
        <v>62</v>
      </c>
      <c r="V28" s="34"/>
    </row>
    <row r="29" ht="44.05" customHeight="1">
      <c r="K29" s="30"/>
      <c r="L29" t="s" s="49">
        <v>76</v>
      </c>
      <c r="M29" t="s" s="50">
        <v>77</v>
      </c>
      <c r="N29" s="18">
        <f>MAX(E3:E16)</f>
        <v>7099</v>
      </c>
      <c r="O29" t="s" s="50">
        <f>R28</f>
        <v>67</v>
      </c>
      <c r="P29" t="s" s="50">
        <v>78</v>
      </c>
      <c r="Q29" s="22">
        <f>$A15</f>
        <v>2020</v>
      </c>
      <c r="R29" s="34"/>
      <c r="S29" s="34"/>
      <c r="T29" s="34"/>
      <c r="U29" s="34"/>
      <c r="V29" s="34"/>
    </row>
    <row r="30" ht="32.05" customHeight="1">
      <c r="K30" s="30"/>
      <c r="L30" t="s" s="49">
        <v>79</v>
      </c>
      <c r="M30" t="s" s="50">
        <f>M28</f>
        <v>70</v>
      </c>
      <c r="N30" t="s" s="50">
        <v>80</v>
      </c>
      <c r="O30" t="s" s="50">
        <v>81</v>
      </c>
      <c r="P30" t="s" s="50">
        <f>IF(R30&lt;N29,"down","up")</f>
        <v>82</v>
      </c>
      <c r="Q30" t="s" s="50">
        <v>83</v>
      </c>
      <c r="R30" s="18">
        <f>E16</f>
        <v>4679</v>
      </c>
      <c r="S30" t="s" s="50">
        <f>R28</f>
        <v>67</v>
      </c>
      <c r="T30" s="34"/>
      <c r="U30" s="34"/>
      <c r="V30" s="34"/>
    </row>
    <row r="31" ht="20.05" customHeight="1">
      <c r="K31" s="30"/>
      <c r="L31" t="s" s="49">
        <v>26</v>
      </c>
      <c r="M31" s="18">
        <f>R35</f>
        <v>1493</v>
      </c>
      <c r="N31" t="s" s="50">
        <f>S30</f>
        <v>67</v>
      </c>
      <c r="O31" t="s" s="50">
        <f>IF(M31&gt;0,"raised","paid")</f>
        <v>68</v>
      </c>
      <c r="P31" s="34"/>
      <c r="Q31" s="34"/>
      <c r="R31" s="34"/>
      <c r="S31" s="34"/>
      <c r="T31" s="34"/>
      <c r="U31" s="34"/>
      <c r="V31" s="34"/>
    </row>
    <row r="32" ht="32.05" customHeight="1">
      <c r="K32" s="30"/>
      <c r="L32" t="s" s="49">
        <f>L27</f>
        <v>55</v>
      </c>
      <c r="M32" t="s" s="50">
        <v>69</v>
      </c>
      <c r="N32" t="s" s="50">
        <f>IF(Q32&gt;0,"raised","paid")</f>
        <v>68</v>
      </c>
      <c r="O32" t="s" s="50">
        <v>84</v>
      </c>
      <c r="P32" t="s" s="50">
        <f>P27</f>
        <v>71</v>
      </c>
      <c r="Q32" s="18">
        <f>AVERAGE(C3:C16)</f>
        <v>106.642857142857</v>
      </c>
      <c r="R32" t="s" s="50">
        <f>R27</f>
        <v>67</v>
      </c>
      <c r="S32" t="s" s="50">
        <f>S27</f>
        <v>72</v>
      </c>
      <c r="T32" s="16">
        <f>Q32/M25</f>
        <v>0.00909836109131461</v>
      </c>
      <c r="U32" t="s" s="50">
        <f>U27</f>
        <v>62</v>
      </c>
      <c r="V32" s="34"/>
    </row>
    <row r="33" ht="32.05" customHeight="1">
      <c r="K33" s="30"/>
      <c r="L33" t="s" s="49">
        <v>73</v>
      </c>
      <c r="M33" t="s" s="50">
        <f>O32</f>
        <v>84</v>
      </c>
      <c r="N33" t="s" s="50">
        <v>85</v>
      </c>
      <c r="O33" t="s" s="50">
        <f>IF(Q33&gt;0,"raised","paid")</f>
        <v>68</v>
      </c>
      <c r="P33" t="s" s="50">
        <v>71</v>
      </c>
      <c r="Q33" s="18">
        <f>AVERAGE(C12:C16)</f>
        <v>345</v>
      </c>
      <c r="R33" t="s" s="50">
        <f>R32</f>
        <v>67</v>
      </c>
      <c r="S33" t="s" s="50">
        <v>72</v>
      </c>
      <c r="T33" s="16">
        <f>Q33/M25</f>
        <v>0.029434081762257</v>
      </c>
      <c r="U33" t="s" s="50">
        <f>U28</f>
        <v>62</v>
      </c>
      <c r="V33" s="34"/>
    </row>
    <row r="34" ht="44.05" customHeight="1">
      <c r="K34" s="30"/>
      <c r="L34" t="s" s="49">
        <v>86</v>
      </c>
      <c r="M34" t="s" s="50">
        <v>77</v>
      </c>
      <c r="N34" s="18">
        <f>MAX(F3:F16)</f>
        <v>1493</v>
      </c>
      <c r="O34" t="s" s="50">
        <f>R33</f>
        <v>67</v>
      </c>
      <c r="P34" t="s" s="50">
        <v>78</v>
      </c>
      <c r="Q34" s="22">
        <f>$A16</f>
        <v>2021</v>
      </c>
      <c r="R34" s="34"/>
      <c r="S34" s="34"/>
      <c r="T34" s="34"/>
      <c r="U34" s="34"/>
      <c r="V34" s="34"/>
    </row>
    <row r="35" ht="32.05" customHeight="1">
      <c r="K35" s="30"/>
      <c r="L35" t="s" s="49">
        <v>79</v>
      </c>
      <c r="M35" t="s" s="50">
        <f>M33</f>
        <v>84</v>
      </c>
      <c r="N35" t="s" s="50">
        <v>80</v>
      </c>
      <c r="O35" t="s" s="50">
        <v>87</v>
      </c>
      <c r="P35" t="s" s="50">
        <f>IF(R35&lt;N34,"down","up")</f>
        <v>88</v>
      </c>
      <c r="Q35" t="s" s="50">
        <v>83</v>
      </c>
      <c r="R35" s="18">
        <f>F16</f>
        <v>1493</v>
      </c>
      <c r="S35" t="s" s="50">
        <f>R33</f>
        <v>67</v>
      </c>
      <c r="T35" s="34"/>
      <c r="U35" s="34"/>
      <c r="V35" s="34"/>
    </row>
    <row r="36" ht="20.05" customHeight="1">
      <c r="K36" s="30"/>
      <c r="L36" t="s" s="49">
        <v>89</v>
      </c>
      <c r="M36" s="18">
        <f>R40</f>
        <v>6172</v>
      </c>
      <c r="N36" t="s" s="50">
        <f>S35</f>
        <v>67</v>
      </c>
      <c r="O36" t="s" s="50">
        <f>IF(M36&gt;0,"raised","paid")</f>
        <v>68</v>
      </c>
      <c r="P36" s="34"/>
      <c r="Q36" s="34"/>
      <c r="R36" s="34"/>
      <c r="S36" s="34"/>
      <c r="T36" s="34"/>
      <c r="U36" s="34"/>
      <c r="V36" s="34"/>
    </row>
    <row r="37" ht="32.05" customHeight="1">
      <c r="K37" s="30"/>
      <c r="L37" t="s" s="49">
        <f>L32</f>
        <v>55</v>
      </c>
      <c r="M37" t="s" s="50">
        <v>69</v>
      </c>
      <c r="N37" t="s" s="50">
        <f>IF(Q37&gt;0,"raised","paid")</f>
        <v>68</v>
      </c>
      <c r="O37" t="s" s="50">
        <v>90</v>
      </c>
      <c r="P37" t="s" s="50">
        <f>P32</f>
        <v>71</v>
      </c>
      <c r="Q37" s="18">
        <f>AVERAGE(D3:D16)</f>
        <v>440.857142857143</v>
      </c>
      <c r="R37" t="s" s="50">
        <f>R32</f>
        <v>67</v>
      </c>
      <c r="S37" t="s" s="50">
        <f>S32</f>
        <v>72</v>
      </c>
      <c r="T37" s="16">
        <f>Q37/M25</f>
        <v>0.0376122469227019</v>
      </c>
      <c r="U37" t="s" s="50">
        <f>U32</f>
        <v>62</v>
      </c>
      <c r="V37" s="34"/>
    </row>
    <row r="38" ht="32.05" customHeight="1">
      <c r="K38" s="30"/>
      <c r="L38" t="s" s="49">
        <v>73</v>
      </c>
      <c r="M38" t="s" s="50">
        <f>O37</f>
        <v>90</v>
      </c>
      <c r="N38" t="s" s="50">
        <v>85</v>
      </c>
      <c r="O38" t="s" s="50">
        <f>IF(Q38&gt;0,"raised","paid")</f>
        <v>68</v>
      </c>
      <c r="P38" t="s" s="50">
        <v>71</v>
      </c>
      <c r="Q38" s="18">
        <f>AVERAGE(D12:D16)</f>
        <v>244</v>
      </c>
      <c r="R38" t="s" s="50">
        <f>R37</f>
        <v>67</v>
      </c>
      <c r="S38" t="s" s="50">
        <v>72</v>
      </c>
      <c r="T38" s="16">
        <f>Q38/M25</f>
        <v>0.0208171476811325</v>
      </c>
      <c r="U38" t="s" s="50">
        <f>U33</f>
        <v>62</v>
      </c>
      <c r="V38" s="34"/>
    </row>
    <row r="39" ht="44.05" customHeight="1">
      <c r="K39" s="30"/>
      <c r="L39" t="s" s="49">
        <v>91</v>
      </c>
      <c r="M39" t="s" s="50">
        <v>77</v>
      </c>
      <c r="N39" s="18">
        <f>MAX(G3:G16)</f>
        <v>6918</v>
      </c>
      <c r="O39" t="s" s="50">
        <f>R38</f>
        <v>67</v>
      </c>
      <c r="P39" t="s" s="50">
        <v>78</v>
      </c>
      <c r="Q39" s="22">
        <f>$A15</f>
        <v>2020</v>
      </c>
      <c r="R39" s="34"/>
      <c r="S39" s="34"/>
      <c r="T39" s="34"/>
      <c r="U39" s="34"/>
      <c r="V39" s="34"/>
    </row>
    <row r="40" ht="32.05" customHeight="1">
      <c r="K40" s="30"/>
      <c r="L40" t="s" s="49">
        <v>79</v>
      </c>
      <c r="M40" t="s" s="50">
        <f>M38</f>
        <v>90</v>
      </c>
      <c r="N40" t="s" s="50">
        <v>80</v>
      </c>
      <c r="O40" t="s" s="50">
        <v>87</v>
      </c>
      <c r="P40" t="s" s="50">
        <f>IF(R40&lt;N39,"down","up")</f>
        <v>82</v>
      </c>
      <c r="Q40" t="s" s="50">
        <v>83</v>
      </c>
      <c r="R40" s="18">
        <f>G16</f>
        <v>6172</v>
      </c>
      <c r="S40" t="s" s="50">
        <f>R38</f>
        <v>67</v>
      </c>
      <c r="T40" s="16">
        <f>D16/M25</f>
        <v>-0.0636458695496919</v>
      </c>
      <c r="U40" t="s" s="50">
        <f>U38</f>
        <v>62</v>
      </c>
      <c r="V40" t="s" s="50">
        <v>63</v>
      </c>
    </row>
  </sheetData>
  <mergeCells count="2">
    <mergeCell ref="A1:J1"/>
    <mergeCell ref="K18:V18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