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<sst xmlns="http://schemas.openxmlformats.org/spreadsheetml/2006/main" uniqueCount="58">
  <si>
    <t>Financial model</t>
  </si>
  <si>
    <t>Rp bn</t>
  </si>
  <si>
    <t>4Q 2022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</si>
  <si>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</si>
  <si>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</si>
  <si>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</si>
  <si>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</si>
  <si>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</si>
  <si>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Operating </t>
  </si>
  <si>
    <t>Investment</t>
  </si>
  <si>
    <t xml:space="preserve">Leases 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</si>
  <si>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</si>
  <si>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</si>
  <si>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</si>
  <si>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</si>
  <si>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</si>
  <si>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</si>
  <si>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</si>
  <si>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</si>
  <si>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</si>
  <si>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</si>
  <si>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</si>
  <si>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</si>
  <si>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</si>
  <si>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</si>
  <si>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</si>
  <si>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</si>
  <si>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</si>
  <si>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</si>
  <si>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</si>
  <si>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</si>
  <si>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 xml:space="preserve">Yield </t>
  </si>
  <si>
    <t>Cashflow</t>
  </si>
  <si>
    <t>Payback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</si>
  <si>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</si>
  <si>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</si>
  <si>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</si>
  <si>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</si>
  <si>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</si>
  <si>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>V target</t>
  </si>
  <si>
    <t xml:space="preserve">12 month growth </t>
  </si>
  <si>
    <t xml:space="preserve">Sales v forecast </t>
  </si>
  <si>
    <t>Rpbn</t>
  </si>
  <si>
    <t>Non cash costs</t>
  </si>
  <si>
    <t>Forex loss (gain)</t>
  </si>
  <si>
    <t>Profit</t>
  </si>
  <si>
    <t xml:space="preserve">Sales growth </t>
  </si>
  <si>
    <t>Receipts</t>
  </si>
  <si>
    <t>Capex</t>
  </si>
  <si>
    <t>Leases</t>
  </si>
  <si>
    <t xml:space="preserve">Free cashflow </t>
  </si>
  <si>
    <t>Forecast</t>
  </si>
  <si>
    <t>Cash</t>
  </si>
  <si>
    <t>Assets</t>
  </si>
  <si>
    <t>Check</t>
  </si>
  <si>
    <t>Share price</t>
  </si>
  <si>
    <t>SMCB</t>
  </si>
  <si>
    <t>Target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</si>
</sst>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  <font>
      <sz val="10"/>
      <color indexed="14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1" fontId="3" borderId="3" applyNumberFormat="1" applyFont="1" applyFill="0" applyBorder="1" applyAlignment="1" applyProtection="0">
      <alignment horizontal="right" vertical="center" wrapText="1" readingOrder="1"/>
    </xf>
    <xf numFmtId="1" fontId="3" borderId="6" applyNumberFormat="1" applyFont="1" applyFill="0" applyBorder="1" applyAlignment="1" applyProtection="0">
      <alignment horizontal="right" vertical="center" wrapText="1" readingOrder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0" fontId="4" borderId="7" applyNumberFormat="0" applyFont="1" applyFill="0" applyBorder="1" applyAlignment="1" applyProtection="0">
      <alignment horizontal="right" vertical="top" wrapText="1"/>
    </xf>
    <xf numFmtId="3" fontId="4" borderId="7" applyNumberFormat="1" applyFont="1" applyFill="0" applyBorder="1" applyAlignment="1" applyProtection="0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409926</xdr:colOff>
      <xdr:row>2</xdr:row>
      <xdr:rowOff>49880</xdr:rowOff>
    </xdr:from>
    <xdr:to>
      <xdr:col>13</xdr:col>
      <xdr:colOff>30887</xdr:colOff>
      <xdr:row>47</xdr:row>
      <xdr:rowOff>22158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512026" y="553435"/>
          <a:ext cx="8333162" cy="1143593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71094" style="1" customWidth="1"/>
    <col min="2" max="2" width="14.7656" style="1" customWidth="1"/>
    <col min="3" max="6" width="9.38281" style="1" customWidth="1"/>
    <col min="7" max="16384" width="16.3516" style="1" customWidth="1"/>
  </cols>
  <sheetData>
    <row r="1" ht="1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AVERAGE('Sales'!H23:H26)</f>
        <v>0.0367228186774543</v>
      </c>
      <c r="D4" s="8"/>
      <c r="E4" s="8"/>
      <c r="F4" s="9">
        <f>AVERAGE(C5:F5)</f>
        <v>0.025</v>
      </c>
    </row>
    <row r="5" ht="20.05" customHeight="1">
      <c r="B5" t="s" s="10">
        <v>4</v>
      </c>
      <c r="C5" s="11">
        <v>-0.17</v>
      </c>
      <c r="D5" s="12">
        <v>0.01</v>
      </c>
      <c r="E5" s="12">
        <v>0.2</v>
      </c>
      <c r="F5" s="12">
        <v>0.06</v>
      </c>
    </row>
    <row r="6" ht="20.05" customHeight="1">
      <c r="B6" t="s" s="10">
        <v>5</v>
      </c>
      <c r="C6" s="13">
        <f>'Sales'!C26*(1+C5)</f>
        <v>2605.287</v>
      </c>
      <c r="D6" s="14">
        <f>C6*(1+D5)</f>
        <v>2631.33987</v>
      </c>
      <c r="E6" s="14">
        <f>D6*(1+E5)</f>
        <v>3157.607844</v>
      </c>
      <c r="F6" s="14">
        <f>E6*(1+F5)</f>
        <v>3347.06431464</v>
      </c>
    </row>
    <row r="7" ht="20.05" customHeight="1">
      <c r="B7" t="s" s="10">
        <v>6</v>
      </c>
      <c r="C7" s="11">
        <f>AVERAGE('Sales'!I26)</f>
        <v>-0.842556309535187</v>
      </c>
      <c r="D7" s="12">
        <f>C7</f>
        <v>-0.842556309535187</v>
      </c>
      <c r="E7" s="12">
        <f>D7</f>
        <v>-0.842556309535187</v>
      </c>
      <c r="F7" s="12">
        <f>E7</f>
        <v>-0.842556309535187</v>
      </c>
    </row>
    <row r="8" ht="20.05" customHeight="1">
      <c r="B8" t="s" s="10">
        <v>7</v>
      </c>
      <c r="C8" s="15">
        <f>C6*C7</f>
        <v>-2195.101</v>
      </c>
      <c r="D8" s="16">
        <f>D6*D7</f>
        <v>-2217.05201</v>
      </c>
      <c r="E8" s="16">
        <f>E6*E7</f>
        <v>-2660.462412</v>
      </c>
      <c r="F8" s="16">
        <f>F6*F7</f>
        <v>-2820.09015672</v>
      </c>
    </row>
    <row r="9" ht="20.05" customHeight="1">
      <c r="B9" t="s" s="10">
        <v>8</v>
      </c>
      <c r="C9" s="15">
        <f>C6+C8</f>
        <v>410.186</v>
      </c>
      <c r="D9" s="16">
        <f>D6+D8</f>
        <v>414.28786</v>
      </c>
      <c r="E9" s="16">
        <f>E6+E8</f>
        <v>497.145432</v>
      </c>
      <c r="F9" s="16">
        <f>F6+F8</f>
        <v>526.97415792</v>
      </c>
    </row>
    <row r="10" ht="20.05" customHeight="1">
      <c r="B10" t="s" s="10">
        <v>9</v>
      </c>
      <c r="C10" s="15">
        <f>AVERAGE('Cashflow '!E20:E27)</f>
        <v>-126.225</v>
      </c>
      <c r="D10" s="16">
        <f>C10</f>
        <v>-126.225</v>
      </c>
      <c r="E10" s="16">
        <f>D10</f>
        <v>-126.225</v>
      </c>
      <c r="F10" s="16">
        <f>E10</f>
        <v>-126.225</v>
      </c>
    </row>
    <row r="11" ht="20.05" customHeight="1">
      <c r="B11" t="s" s="10">
        <v>10</v>
      </c>
      <c r="C11" s="15">
        <f>'Cashflow '!G27</f>
        <v>-57.3</v>
      </c>
      <c r="D11" s="16">
        <f>C11</f>
        <v>-57.3</v>
      </c>
      <c r="E11" s="16">
        <f>D11</f>
        <v>-57.3</v>
      </c>
      <c r="F11" s="16">
        <f>E11</f>
        <v>-57.3</v>
      </c>
    </row>
    <row r="12" ht="20.05" customHeight="1">
      <c r="B12" t="s" s="10">
        <v>11</v>
      </c>
      <c r="C12" s="15">
        <f>C13+C14+C16</f>
        <v>-226.661</v>
      </c>
      <c r="D12" s="16">
        <f>D13+D14+D16</f>
        <v>-230.76286</v>
      </c>
      <c r="E12" s="16">
        <f>E13+E14+E16</f>
        <v>-313.620432</v>
      </c>
      <c r="F12" s="16">
        <f>F13+F14+F16</f>
        <v>-343.44915792</v>
      </c>
    </row>
    <row r="13" ht="20.05" customHeight="1">
      <c r="B13" t="s" s="10">
        <v>12</v>
      </c>
      <c r="C13" s="15">
        <f>-'Balance sheet'!G27/20</f>
        <v>-515.5</v>
      </c>
      <c r="D13" s="16">
        <f>-C27/20</f>
        <v>-486.86</v>
      </c>
      <c r="E13" s="16">
        <f>-D27/20</f>
        <v>-459.652</v>
      </c>
      <c r="F13" s="16">
        <f>-E27/20</f>
        <v>-433.8044</v>
      </c>
    </row>
    <row r="14" ht="20.05" customHeight="1">
      <c r="B14" t="s" s="10">
        <v>13</v>
      </c>
      <c r="C14" s="15">
        <f>IF(C22&gt;0,-C22*0.3,0)</f>
        <v>-53.3358</v>
      </c>
      <c r="D14" s="16">
        <f>IF(D22&gt;0,-D22*0.3,0)</f>
        <v>-54.566358</v>
      </c>
      <c r="E14" s="16">
        <f>IF(E22&gt;0,-E22*0.3,0)</f>
        <v>-79.4236296</v>
      </c>
      <c r="F14" s="16">
        <f>IF(F22&gt;0,-F22*0.3,0)</f>
        <v>-88.372247376</v>
      </c>
    </row>
    <row r="15" ht="20.05" customHeight="1">
      <c r="B15" t="s" s="10">
        <v>14</v>
      </c>
      <c r="C15" s="15">
        <f>C9+C10+C11+C13+C14</f>
        <v>-342.1748</v>
      </c>
      <c r="D15" s="16">
        <f>D9+D10+D11+D13+D14</f>
        <v>-310.663498</v>
      </c>
      <c r="E15" s="16">
        <f>E9+E10+E11+E13+E14</f>
        <v>-225.4551976</v>
      </c>
      <c r="F15" s="16">
        <f>F9+F10+F11+F13+F14</f>
        <v>-178.727489456</v>
      </c>
    </row>
    <row r="16" ht="20.05" customHeight="1">
      <c r="B16" t="s" s="10">
        <v>15</v>
      </c>
      <c r="C16" s="15">
        <f>-MIN(0,C15)</f>
        <v>342.1748</v>
      </c>
      <c r="D16" s="16">
        <f>-MIN(C28,D15)</f>
        <v>310.663498</v>
      </c>
      <c r="E16" s="16">
        <f>-MIN(D28,E15)</f>
        <v>225.4551976</v>
      </c>
      <c r="F16" s="16">
        <f>-MIN(E28,F15)</f>
        <v>178.727489456</v>
      </c>
    </row>
    <row r="17" ht="20.05" customHeight="1">
      <c r="B17" t="s" s="10">
        <v>16</v>
      </c>
      <c r="C17" s="15">
        <f>'Balance sheet'!C27</f>
        <v>291</v>
      </c>
      <c r="D17" s="16">
        <f>C19</f>
        <v>291</v>
      </c>
      <c r="E17" s="16">
        <f>D19</f>
        <v>291</v>
      </c>
      <c r="F17" s="16">
        <f>E19</f>
        <v>291</v>
      </c>
    </row>
    <row r="18" ht="20.05" customHeight="1">
      <c r="B18" t="s" s="10">
        <v>17</v>
      </c>
      <c r="C18" s="15">
        <f>C9+C10+C11+C12</f>
        <v>0</v>
      </c>
      <c r="D18" s="16">
        <f>D9+D10+D11+D12</f>
        <v>0</v>
      </c>
      <c r="E18" s="16">
        <f>E9+E10+E11+E12</f>
        <v>0</v>
      </c>
      <c r="F18" s="16">
        <f>F9+F10+F11+F12</f>
        <v>0</v>
      </c>
    </row>
    <row r="19" ht="20.05" customHeight="1">
      <c r="B19" t="s" s="10">
        <v>18</v>
      </c>
      <c r="C19" s="15">
        <f>C17+C18</f>
        <v>291</v>
      </c>
      <c r="D19" s="16">
        <f>D17+D18</f>
        <v>291</v>
      </c>
      <c r="E19" s="16">
        <f>E17+E18</f>
        <v>291</v>
      </c>
      <c r="F19" s="16">
        <f>F17+F18</f>
        <v>291</v>
      </c>
    </row>
    <row r="20" ht="20.05" customHeight="1">
      <c r="B20" t="s" s="17">
        <v>19</v>
      </c>
      <c r="C20" s="15"/>
      <c r="D20" s="16"/>
      <c r="E20" s="16"/>
      <c r="F20" s="18"/>
    </row>
    <row r="21" ht="20.05" customHeight="1">
      <c r="B21" t="s" s="10">
        <v>20</v>
      </c>
      <c r="C21" s="15">
        <f>-('Sales'!E26+'Sales'!F26)</f>
        <v>-232.4</v>
      </c>
      <c r="D21" s="16">
        <f>C21</f>
        <v>-232.4</v>
      </c>
      <c r="E21" s="16">
        <f>D21</f>
        <v>-232.4</v>
      </c>
      <c r="F21" s="16">
        <f>E21</f>
        <v>-232.4</v>
      </c>
    </row>
    <row r="22" ht="20.05" customHeight="1">
      <c r="B22" t="s" s="10">
        <v>19</v>
      </c>
      <c r="C22" s="15">
        <f>C6+C8+C21</f>
        <v>177.786</v>
      </c>
      <c r="D22" s="16">
        <f>D6+D8+D21</f>
        <v>181.88786</v>
      </c>
      <c r="E22" s="16">
        <f>E6+E8+E21</f>
        <v>264.745432</v>
      </c>
      <c r="F22" s="16">
        <f>F6+F8+F21</f>
        <v>294.57415792</v>
      </c>
    </row>
    <row r="23" ht="20.05" customHeight="1">
      <c r="B23" t="s" s="17">
        <v>21</v>
      </c>
      <c r="C23" s="15"/>
      <c r="D23" s="16"/>
      <c r="E23" s="16"/>
      <c r="F23" s="16"/>
    </row>
    <row r="24" ht="20.05" customHeight="1">
      <c r="B24" t="s" s="10">
        <v>22</v>
      </c>
      <c r="C24" s="15">
        <f>'Balance sheet'!E27+'Balance sheet'!F27-C10</f>
        <v>34715.225</v>
      </c>
      <c r="D24" s="16">
        <f>C24-D10</f>
        <v>34841.45</v>
      </c>
      <c r="E24" s="16">
        <f>D24-E10</f>
        <v>34967.675</v>
      </c>
      <c r="F24" s="16">
        <f>E24-F10</f>
        <v>35093.9</v>
      </c>
    </row>
    <row r="25" ht="20.05" customHeight="1">
      <c r="B25" t="s" s="10">
        <v>23</v>
      </c>
      <c r="C25" s="15">
        <f>'Balance sheet'!F27-C21</f>
        <v>13620.4</v>
      </c>
      <c r="D25" s="16">
        <f>C25-D21</f>
        <v>13852.8</v>
      </c>
      <c r="E25" s="16">
        <f>D25-E21</f>
        <v>14085.2</v>
      </c>
      <c r="F25" s="16">
        <f>E25-F21</f>
        <v>14317.6</v>
      </c>
    </row>
    <row r="26" ht="20.05" customHeight="1">
      <c r="B26" t="s" s="10">
        <v>24</v>
      </c>
      <c r="C26" s="15">
        <f>C24-C25</f>
        <v>21094.825</v>
      </c>
      <c r="D26" s="16">
        <f>D24-D25</f>
        <v>20988.65</v>
      </c>
      <c r="E26" s="16">
        <f>E24-E25</f>
        <v>20882.475</v>
      </c>
      <c r="F26" s="16">
        <f>F24-F25</f>
        <v>20776.3</v>
      </c>
    </row>
    <row r="27" ht="20.05" customHeight="1">
      <c r="B27" t="s" s="10">
        <v>12</v>
      </c>
      <c r="C27" s="15">
        <f>'Balance sheet'!G27+C13+C11</f>
        <v>9737.200000000001</v>
      </c>
      <c r="D27" s="16">
        <f>C27+D13+D11</f>
        <v>9193.040000000001</v>
      </c>
      <c r="E27" s="16">
        <f>D27+E13+E11</f>
        <v>8676.088</v>
      </c>
      <c r="F27" s="16">
        <f>E27+F13+F11</f>
        <v>8184.9836</v>
      </c>
    </row>
    <row r="28" ht="20.05" customHeight="1">
      <c r="B28" t="s" s="10">
        <v>15</v>
      </c>
      <c r="C28" s="15">
        <f>C16</f>
        <v>342.1748</v>
      </c>
      <c r="D28" s="16">
        <f>C28+D16</f>
        <v>652.838298</v>
      </c>
      <c r="E28" s="16">
        <f>D28+E16</f>
        <v>878.2934956</v>
      </c>
      <c r="F28" s="16">
        <f>E28+F16</f>
        <v>1057.020985056</v>
      </c>
    </row>
    <row r="29" ht="20.05" customHeight="1">
      <c r="B29" t="s" s="10">
        <v>13</v>
      </c>
      <c r="C29" s="15">
        <f>'Balance sheet'!H27+C22+C14</f>
        <v>11306.4502</v>
      </c>
      <c r="D29" s="16">
        <f>C29+D22+D14</f>
        <v>11433.771702</v>
      </c>
      <c r="E29" s="16">
        <f>D29+E22+E14</f>
        <v>11619.0935044</v>
      </c>
      <c r="F29" s="16">
        <f>E29+F22+F14</f>
        <v>11825.295414944</v>
      </c>
    </row>
    <row r="30" ht="20.05" customHeight="1">
      <c r="B30" t="s" s="10">
        <v>25</v>
      </c>
      <c r="C30" s="15">
        <f>C27+C28+C29-C19-C26</f>
        <v>0</v>
      </c>
      <c r="D30" s="16">
        <f>D27+D28+D29-D19-D26</f>
        <v>0</v>
      </c>
      <c r="E30" s="16">
        <f>E27+E28+E29-E19-E26</f>
        <v>0</v>
      </c>
      <c r="F30" s="16">
        <f>F27+F28+F29-F19-F26</f>
        <v>0</v>
      </c>
    </row>
    <row r="31" ht="20.05" customHeight="1">
      <c r="B31" t="s" s="10">
        <v>26</v>
      </c>
      <c r="C31" s="15">
        <f>C19-C27-C28</f>
        <v>-9788.3748</v>
      </c>
      <c r="D31" s="16">
        <f>D19-D27-D28</f>
        <v>-9554.878298</v>
      </c>
      <c r="E31" s="16">
        <f>E19-E27-E28</f>
        <v>-9263.381495600001</v>
      </c>
      <c r="F31" s="16">
        <f>F19-F27-F28</f>
        <v>-8951.004585056</v>
      </c>
    </row>
    <row r="32" ht="20.05" customHeight="1">
      <c r="B32" t="s" s="17">
        <v>27</v>
      </c>
      <c r="C32" s="15"/>
      <c r="D32" s="16"/>
      <c r="E32" s="16"/>
      <c r="F32" s="16"/>
    </row>
    <row r="33" ht="20.05" customHeight="1">
      <c r="B33" t="s" s="10">
        <v>28</v>
      </c>
      <c r="C33" s="15">
        <f>'Cashflow '!N27-(C12-C11)</f>
        <v>1021.461</v>
      </c>
      <c r="D33" s="16">
        <f>C33-(D12-D11)</f>
        <v>1194.92386</v>
      </c>
      <c r="E33" s="16">
        <f>D33-(E12-E11)</f>
        <v>1451.244292</v>
      </c>
      <c r="F33" s="16">
        <f>E33-(F12-F11)</f>
        <v>1737.39344992</v>
      </c>
    </row>
    <row r="34" ht="20.05" customHeight="1">
      <c r="B34" t="s" s="10">
        <v>29</v>
      </c>
      <c r="C34" s="15"/>
      <c r="D34" s="16"/>
      <c r="E34" s="16"/>
      <c r="F34" s="16">
        <v>15150</v>
      </c>
    </row>
    <row r="35" ht="20.05" customHeight="1">
      <c r="B35" t="s" s="10">
        <v>30</v>
      </c>
      <c r="C35" s="15"/>
      <c r="D35" s="16"/>
      <c r="E35" s="16"/>
      <c r="F35" s="19">
        <f>F34/(F19+F26)</f>
        <v>0.719123950387567</v>
      </c>
    </row>
    <row r="36" ht="20.05" customHeight="1">
      <c r="B36" t="s" s="10">
        <v>31</v>
      </c>
      <c r="C36" s="15"/>
      <c r="D36" s="16"/>
      <c r="E36" s="16"/>
      <c r="F36" s="20">
        <f>-(C14+D14+E14+F14)/F34</f>
        <v>0.0181978900974257</v>
      </c>
    </row>
    <row r="37" ht="20.05" customHeight="1">
      <c r="B37" t="s" s="10">
        <v>32</v>
      </c>
      <c r="C37" s="15"/>
      <c r="D37" s="16"/>
      <c r="E37" s="16"/>
      <c r="F37" s="16">
        <f>SUM(C9:F11)</f>
        <v>1114.49344992</v>
      </c>
    </row>
    <row r="38" ht="20.05" customHeight="1">
      <c r="B38" t="s" s="10">
        <v>33</v>
      </c>
      <c r="C38" s="15"/>
      <c r="D38" s="16"/>
      <c r="E38" s="16"/>
      <c r="F38" s="16">
        <f>'Balance sheet'!E27/F37</f>
        <v>19.022992016258</v>
      </c>
    </row>
    <row r="39" ht="20.05" customHeight="1">
      <c r="B39" t="s" s="10">
        <v>27</v>
      </c>
      <c r="C39" s="15"/>
      <c r="D39" s="16"/>
      <c r="E39" s="16"/>
      <c r="F39" s="16">
        <f>F34/F37</f>
        <v>13.5936195955997</v>
      </c>
    </row>
    <row r="40" ht="20.05" customHeight="1">
      <c r="B40" t="s" s="10">
        <v>34</v>
      </c>
      <c r="C40" s="15"/>
      <c r="D40" s="16"/>
      <c r="E40" s="16"/>
      <c r="F40" s="16">
        <v>19</v>
      </c>
    </row>
    <row r="41" ht="20.05" customHeight="1">
      <c r="B41" t="s" s="10">
        <v>35</v>
      </c>
      <c r="C41" s="15"/>
      <c r="D41" s="16"/>
      <c r="E41" s="16"/>
      <c r="F41" s="16">
        <f>F37*F40</f>
        <v>21175.37554848</v>
      </c>
    </row>
    <row r="42" ht="20.05" customHeight="1">
      <c r="B42" t="s" s="10">
        <v>36</v>
      </c>
      <c r="C42" s="15"/>
      <c r="D42" s="16"/>
      <c r="E42" s="16"/>
      <c r="F42" s="16">
        <f>F34/F44</f>
        <v>9.017857142857141</v>
      </c>
    </row>
    <row r="43" ht="20.05" customHeight="1">
      <c r="B43" t="s" s="10">
        <v>37</v>
      </c>
      <c r="C43" s="15"/>
      <c r="D43" s="16"/>
      <c r="E43" s="16"/>
      <c r="F43" s="16">
        <f>F41/F42</f>
        <v>2348.160456861150</v>
      </c>
    </row>
    <row r="44" ht="20.05" customHeight="1">
      <c r="B44" t="s" s="10">
        <v>38</v>
      </c>
      <c r="C44" s="15"/>
      <c r="D44" s="16"/>
      <c r="E44" s="16"/>
      <c r="F44" s="16">
        <f>'Share price '!C20</f>
        <v>1680</v>
      </c>
    </row>
    <row r="45" ht="20.05" customHeight="1">
      <c r="B45" t="s" s="10">
        <v>39</v>
      </c>
      <c r="C45" s="15"/>
      <c r="D45" s="16"/>
      <c r="E45" s="16"/>
      <c r="F45" s="20">
        <f>F43/F44-1</f>
        <v>0.397714557655446</v>
      </c>
    </row>
    <row r="46" ht="20.05" customHeight="1">
      <c r="B46" t="s" s="10">
        <v>40</v>
      </c>
      <c r="C46" s="15"/>
      <c r="D46" s="16"/>
      <c r="E46" s="16"/>
      <c r="F46" s="20">
        <f>'Sales'!C26/'Sales'!C22-1</f>
        <v>0.132102011447615</v>
      </c>
    </row>
    <row r="47" ht="20.05" customHeight="1">
      <c r="B47" t="s" s="10">
        <v>41</v>
      </c>
      <c r="C47" s="15"/>
      <c r="D47" s="16"/>
      <c r="E47" s="16"/>
      <c r="F47" s="20">
        <f>('Sales'!D23+'Sales'!D26+'Sales'!D25+'Sales'!D24)/('Sales'!C23+'Sales'!C25+'Sales'!C26+'Sales'!C24)-1</f>
        <v>-0.00789837941915815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K30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72656" style="21" customWidth="1"/>
    <col min="2" max="11" width="10.9688" style="21" customWidth="1"/>
    <col min="12" max="16384" width="16.3516" style="21" customWidth="1"/>
  </cols>
  <sheetData>
    <row r="1" ht="27.65" customHeight="1">
      <c r="B1" t="s" s="2">
        <v>5</v>
      </c>
      <c r="C1" s="2"/>
      <c r="D1" s="2"/>
      <c r="E1" s="2"/>
      <c r="F1" s="2"/>
      <c r="G1" s="2"/>
      <c r="H1" s="2"/>
      <c r="I1" s="2"/>
      <c r="J1" s="2"/>
      <c r="K1" s="2"/>
    </row>
    <row r="2" ht="32.25" customHeight="1">
      <c r="B2" t="s" s="5">
        <v>42</v>
      </c>
      <c r="C2" t="s" s="5">
        <v>5</v>
      </c>
      <c r="D2" t="s" s="5">
        <v>34</v>
      </c>
      <c r="E2" t="s" s="5">
        <v>43</v>
      </c>
      <c r="F2" t="s" s="5">
        <v>44</v>
      </c>
      <c r="G2" t="s" s="5">
        <v>45</v>
      </c>
      <c r="H2" t="s" s="5">
        <v>46</v>
      </c>
      <c r="I2" t="s" s="5">
        <v>6</v>
      </c>
      <c r="J2" t="s" s="5">
        <v>6</v>
      </c>
      <c r="K2" t="s" s="5">
        <v>34</v>
      </c>
    </row>
    <row r="3" ht="20.25" customHeight="1">
      <c r="B3" s="22">
        <v>2016</v>
      </c>
      <c r="C3" s="23">
        <v>2455.7</v>
      </c>
      <c r="D3" s="24"/>
      <c r="E3" s="24">
        <v>264.8</v>
      </c>
      <c r="F3" s="24">
        <v>20.125</v>
      </c>
      <c r="G3" s="24">
        <v>66.98</v>
      </c>
      <c r="H3" s="9"/>
      <c r="I3" s="9">
        <f>(E3+G3+F3-C3)/C3</f>
        <v>-0.85669870098139</v>
      </c>
      <c r="J3" s="9"/>
      <c r="K3" s="9"/>
    </row>
    <row r="4" ht="20.05" customHeight="1">
      <c r="B4" s="25"/>
      <c r="C4" s="15">
        <v>2314.49</v>
      </c>
      <c r="D4" s="16"/>
      <c r="E4" s="16">
        <v>294</v>
      </c>
      <c r="F4" s="16">
        <v>-3.225</v>
      </c>
      <c r="G4" s="16">
        <v>-118.38</v>
      </c>
      <c r="H4" s="12">
        <f>C4/C3-1</f>
        <v>-0.0575029523150222</v>
      </c>
      <c r="I4" s="12">
        <f>(E4+G4+F4-C4)/C4</f>
        <v>-0.9255149082519259</v>
      </c>
      <c r="J4" s="12"/>
      <c r="K4" s="12"/>
    </row>
    <row r="5" ht="20.05" customHeight="1">
      <c r="B5" s="25"/>
      <c r="C5" s="15">
        <v>2136.2</v>
      </c>
      <c r="D5" s="16"/>
      <c r="E5" s="16">
        <v>305.6</v>
      </c>
      <c r="F5" s="16">
        <v>-2.67</v>
      </c>
      <c r="G5" s="16">
        <v>-108.5</v>
      </c>
      <c r="H5" s="12">
        <f>C5/C4-1</f>
        <v>-0.07703208914274851</v>
      </c>
      <c r="I5" s="12">
        <f>(E5+G5+F5-C5)/C5</f>
        <v>-0.908983241269544</v>
      </c>
      <c r="J5" s="12"/>
      <c r="K5" s="12"/>
    </row>
    <row r="6" ht="20.05" customHeight="1">
      <c r="B6" s="25"/>
      <c r="C6" s="15">
        <v>2552.01</v>
      </c>
      <c r="D6" s="16"/>
      <c r="E6" s="16">
        <v>281.3</v>
      </c>
      <c r="F6" s="16">
        <v>-50.13</v>
      </c>
      <c r="G6" s="16">
        <v>-124.6</v>
      </c>
      <c r="H6" s="12">
        <f>C6/C5-1</f>
        <v>0.19464937739912</v>
      </c>
      <c r="I6" s="12">
        <f>(E6+G6+F6-C6)/C6</f>
        <v>-0.958240759244674</v>
      </c>
      <c r="J6" s="12"/>
      <c r="K6" s="12"/>
    </row>
    <row r="7" ht="20.05" customHeight="1">
      <c r="B7" s="26">
        <v>2017</v>
      </c>
      <c r="C7" s="15">
        <v>2158.7</v>
      </c>
      <c r="D7" s="16"/>
      <c r="E7" s="16">
        <v>252.7</v>
      </c>
      <c r="F7" s="16">
        <v>-10.7</v>
      </c>
      <c r="G7" s="16">
        <v>-116.48</v>
      </c>
      <c r="H7" s="12">
        <f>C7/C6-1</f>
        <v>-0.154117734648375</v>
      </c>
      <c r="I7" s="12">
        <f>(E7+G7+F7-C7)/C7</f>
        <v>-0.941853893547042</v>
      </c>
      <c r="J7" s="18"/>
      <c r="K7" s="18"/>
    </row>
    <row r="8" ht="20.05" customHeight="1">
      <c r="B8" s="25"/>
      <c r="C8" s="15">
        <v>2129.3</v>
      </c>
      <c r="D8" s="16"/>
      <c r="E8" s="16">
        <v>262.2</v>
      </c>
      <c r="F8" s="16">
        <v>8.1</v>
      </c>
      <c r="G8" s="16">
        <v>-319.32</v>
      </c>
      <c r="H8" s="12">
        <f>C8/C7-1</f>
        <v>-0.0136193079168018</v>
      </c>
      <c r="I8" s="12">
        <f>(E8+G8+F8-C8)/C8</f>
        <v>-1.02302165030761</v>
      </c>
      <c r="J8" s="18"/>
      <c r="K8" s="18"/>
    </row>
    <row r="9" ht="20.05" customHeight="1">
      <c r="B9" s="25"/>
      <c r="C9" s="15">
        <v>2592.3</v>
      </c>
      <c r="D9" s="16"/>
      <c r="E9" s="16">
        <v>299.6</v>
      </c>
      <c r="F9" s="16">
        <v>8.970000000000001</v>
      </c>
      <c r="G9" s="16">
        <v>-212.1</v>
      </c>
      <c r="H9" s="12">
        <f>C9/C8-1</f>
        <v>0.217442351946649</v>
      </c>
      <c r="I9" s="12">
        <f>(E9+G9+F9-C9)/C9</f>
        <v>-0.962785942984994</v>
      </c>
      <c r="J9" s="18"/>
      <c r="K9" s="18"/>
    </row>
    <row r="10" ht="20.05" customHeight="1">
      <c r="B10" s="25"/>
      <c r="C10" s="15">
        <v>2501.7</v>
      </c>
      <c r="D10" s="16"/>
      <c r="E10" s="16">
        <v>209.8</v>
      </c>
      <c r="F10" s="16">
        <v>-1.87</v>
      </c>
      <c r="G10" s="16">
        <v>-110.1</v>
      </c>
      <c r="H10" s="12">
        <f>C10/C9-1</f>
        <v>-0.0349496586043282</v>
      </c>
      <c r="I10" s="12">
        <f>(E10+G10+F10-C10)/C10</f>
        <v>-0.960894591677659</v>
      </c>
      <c r="J10" s="18"/>
      <c r="K10" s="18"/>
    </row>
    <row r="11" ht="20.05" customHeight="1">
      <c r="B11" s="26">
        <v>2018</v>
      </c>
      <c r="C11" s="15">
        <v>2285.35</v>
      </c>
      <c r="D11" s="16"/>
      <c r="E11" s="16">
        <v>245.5</v>
      </c>
      <c r="F11" s="16">
        <v>-6.8</v>
      </c>
      <c r="G11" s="16">
        <v>-332.37</v>
      </c>
      <c r="H11" s="12">
        <f>C11/C10-1</f>
        <v>-0.0864811927889035</v>
      </c>
      <c r="I11" s="12">
        <f>(E11+G11+F11-C11)/C11</f>
        <v>-1.0409871573282</v>
      </c>
      <c r="J11" s="12">
        <f>AVERAGE(I8:I11)</f>
        <v>-0.996922335574616</v>
      </c>
      <c r="K11" s="12"/>
    </row>
    <row r="12" ht="20.05" customHeight="1">
      <c r="B12" s="25"/>
      <c r="C12" s="15">
        <v>2326.05</v>
      </c>
      <c r="D12" s="16"/>
      <c r="E12" s="16">
        <v>227.8</v>
      </c>
      <c r="F12" s="16">
        <v>-97.8</v>
      </c>
      <c r="G12" s="16">
        <v>-206.9</v>
      </c>
      <c r="H12" s="12">
        <f>C12/C11-1</f>
        <v>0.0178090883234516</v>
      </c>
      <c r="I12" s="12">
        <f>(E12+G12+F12-C12)/C12</f>
        <v>-1.03306033834182</v>
      </c>
      <c r="J12" s="12">
        <f>AVERAGE(I9:I12)</f>
        <v>-0.999432007583168</v>
      </c>
      <c r="K12" s="12"/>
    </row>
    <row r="13" ht="20.05" customHeight="1">
      <c r="B13" s="25"/>
      <c r="C13" s="15">
        <v>2958.2</v>
      </c>
      <c r="D13" s="16"/>
      <c r="E13" s="16">
        <v>278</v>
      </c>
      <c r="F13" s="16">
        <v>-79.40000000000001</v>
      </c>
      <c r="G13" s="16">
        <v>-91.08</v>
      </c>
      <c r="H13" s="12">
        <f>C13/C12-1</f>
        <v>0.271769738397713</v>
      </c>
      <c r="I13" s="12">
        <f>(E13+G13+F13-C13)/C13</f>
        <v>-0.963653573118788</v>
      </c>
      <c r="J13" s="12">
        <f>AVERAGE(I10:I13)</f>
        <v>-0.999648915116617</v>
      </c>
      <c r="K13" s="12"/>
    </row>
    <row r="14" ht="20.05" customHeight="1">
      <c r="B14" s="25"/>
      <c r="C14" s="15">
        <v>2808.1</v>
      </c>
      <c r="D14" s="16"/>
      <c r="E14" s="16">
        <v>292.3</v>
      </c>
      <c r="F14" s="16">
        <v>145.15</v>
      </c>
      <c r="G14" s="16">
        <v>-197.55</v>
      </c>
      <c r="H14" s="12">
        <f>C14/C13-1</f>
        <v>-0.0507403150564532</v>
      </c>
      <c r="I14" s="12">
        <f>(E14+G14+F14-C14)/C14</f>
        <v>-0.914568569495388</v>
      </c>
      <c r="J14" s="12">
        <f>AVERAGE(I11:I14)</f>
        <v>-0.988067409571049</v>
      </c>
      <c r="K14" s="12"/>
    </row>
    <row r="15" ht="20.05" customHeight="1">
      <c r="B15" s="26">
        <v>2019</v>
      </c>
      <c r="C15" s="15">
        <v>2348.6</v>
      </c>
      <c r="D15" s="16"/>
      <c r="E15" s="16">
        <v>150.3</v>
      </c>
      <c r="F15" s="16">
        <v>60</v>
      </c>
      <c r="G15" s="16">
        <v>-123</v>
      </c>
      <c r="H15" s="12">
        <f>C15/C14-1</f>
        <v>-0.163633773726007</v>
      </c>
      <c r="I15" s="12">
        <f>(E15+G15+F15-C15)/C15</f>
        <v>-0.962828919356212</v>
      </c>
      <c r="J15" s="12">
        <f>AVERAGE(I12:I15)</f>
        <v>-0.968527850078052</v>
      </c>
      <c r="K15" s="12"/>
    </row>
    <row r="16" ht="20.05" customHeight="1">
      <c r="B16" s="25"/>
      <c r="C16" s="15">
        <v>2169.51</v>
      </c>
      <c r="D16" s="16"/>
      <c r="E16" s="16">
        <v>171.3</v>
      </c>
      <c r="F16" s="16">
        <v>-2.8</v>
      </c>
      <c r="G16" s="16">
        <v>-155.5</v>
      </c>
      <c r="H16" s="12">
        <f>C16/C15-1</f>
        <v>-0.07625393851656311</v>
      </c>
      <c r="I16" s="12">
        <f>(E16+G16+F16-C16)/C16</f>
        <v>-0.994007863526787</v>
      </c>
      <c r="J16" s="12">
        <f>AVERAGE(I13:I16)</f>
        <v>-0.958764731374294</v>
      </c>
      <c r="K16" s="12"/>
    </row>
    <row r="17" ht="20.05" customHeight="1">
      <c r="B17" s="25"/>
      <c r="C17" s="15">
        <v>3220.54</v>
      </c>
      <c r="D17" s="16"/>
      <c r="E17" s="16">
        <v>73.2</v>
      </c>
      <c r="F17" s="16">
        <v>-1.2</v>
      </c>
      <c r="G17" s="16">
        <v>477.02</v>
      </c>
      <c r="H17" s="12">
        <f>C17/C16-1</f>
        <v>0.484455015187761</v>
      </c>
      <c r="I17" s="12">
        <f>(E17+G17+F17-C17)/C17</f>
        <v>-0.829525483304042</v>
      </c>
      <c r="J17" s="12">
        <f>AVERAGE(I14:I17)</f>
        <v>-0.925232708920607</v>
      </c>
      <c r="K17" s="12"/>
    </row>
    <row r="18" ht="20.05" customHeight="1">
      <c r="B18" s="25"/>
      <c r="C18" s="15">
        <v>3319.15</v>
      </c>
      <c r="D18" s="16"/>
      <c r="E18" s="16">
        <v>131.7</v>
      </c>
      <c r="F18" s="16">
        <v>-4.13</v>
      </c>
      <c r="G18" s="16">
        <v>300.48</v>
      </c>
      <c r="H18" s="12">
        <f>C18/C17-1</f>
        <v>0.0306190887242512</v>
      </c>
      <c r="I18" s="12">
        <f>(E18+G18+F18-C18)/C18</f>
        <v>-0.87103625928325</v>
      </c>
      <c r="J18" s="12">
        <f>AVERAGE(I15:I18)</f>
        <v>-0.914349631367573</v>
      </c>
      <c r="K18" s="12"/>
    </row>
    <row r="19" ht="20.05" customHeight="1">
      <c r="B19" s="26">
        <v>2020</v>
      </c>
      <c r="C19" s="15">
        <v>2463.2</v>
      </c>
      <c r="D19" s="16"/>
      <c r="E19" s="16">
        <v>101.5</v>
      </c>
      <c r="F19" s="16">
        <v>-2.97</v>
      </c>
      <c r="G19" s="16">
        <v>68.42</v>
      </c>
      <c r="H19" s="12">
        <f>C19/C18-1</f>
        <v>-0.257882289140292</v>
      </c>
      <c r="I19" s="12">
        <f>(E19+G19+F19-C19)/C19</f>
        <v>-0.932222312439104</v>
      </c>
      <c r="J19" s="12">
        <f>AVERAGE(I16:I19)</f>
        <v>-0.906697979638296</v>
      </c>
      <c r="K19" s="12"/>
    </row>
    <row r="20" ht="20.05" customHeight="1">
      <c r="B20" s="25"/>
      <c r="C20" s="15">
        <v>2055.12</v>
      </c>
      <c r="D20" s="16"/>
      <c r="E20" s="16">
        <v>150.9</v>
      </c>
      <c r="F20" s="16">
        <v>-14.73</v>
      </c>
      <c r="G20" s="16">
        <v>13.66</v>
      </c>
      <c r="H20" s="12">
        <f>C20/C19-1</f>
        <v>-0.1656706722962</v>
      </c>
      <c r="I20" s="12">
        <f>(E20+G20+F20-C20)/C20</f>
        <v>-0.927094281599128</v>
      </c>
      <c r="J20" s="12">
        <f>AVERAGE(I17:I20)</f>
        <v>-0.8899695841563811</v>
      </c>
      <c r="K20" s="12"/>
    </row>
    <row r="21" ht="20.05" customHeight="1">
      <c r="B21" s="25"/>
      <c r="C21" s="15">
        <v>2817.05</v>
      </c>
      <c r="D21" s="16"/>
      <c r="E21" s="16">
        <v>367.3</v>
      </c>
      <c r="F21" s="16">
        <v>-32.09</v>
      </c>
      <c r="G21" s="16">
        <v>356.42</v>
      </c>
      <c r="H21" s="12">
        <f>C21/C20-1</f>
        <v>0.370747206975748</v>
      </c>
      <c r="I21" s="12">
        <f>(E21+G21+F21-C21)/C21</f>
        <v>-0.754484300953125</v>
      </c>
      <c r="J21" s="12">
        <f>AVERAGE(I18:I21)</f>
        <v>-0.871209288568652</v>
      </c>
      <c r="K21" s="12"/>
    </row>
    <row r="22" ht="20.05" customHeight="1">
      <c r="B22" s="25"/>
      <c r="C22" s="15">
        <v>2772.63</v>
      </c>
      <c r="D22" s="16"/>
      <c r="E22" s="16">
        <v>210.2</v>
      </c>
      <c r="F22" s="16">
        <v>11.89</v>
      </c>
      <c r="G22" s="16">
        <v>212.5</v>
      </c>
      <c r="H22" s="12">
        <f>C22/C21-1</f>
        <v>-0.0157682682238512</v>
      </c>
      <c r="I22" s="12">
        <f>(E22+G22+F22-C22)/C22</f>
        <v>-0.843257124102387</v>
      </c>
      <c r="J22" s="12">
        <f>AVERAGE(I19:I22)</f>
        <v>-0.864264504773436</v>
      </c>
      <c r="K22" s="12"/>
    </row>
    <row r="23" ht="20.05" customHeight="1">
      <c r="B23" s="26">
        <v>2021</v>
      </c>
      <c r="C23" s="15">
        <v>2562.2</v>
      </c>
      <c r="D23" s="16">
        <v>2717.1774</v>
      </c>
      <c r="E23" s="16">
        <f>145.9+65.5</f>
        <v>211.4</v>
      </c>
      <c r="F23" s="16">
        <v>0.7</v>
      </c>
      <c r="G23" s="16">
        <v>156.3</v>
      </c>
      <c r="H23" s="12">
        <f>C23/C22-1</f>
        <v>-0.07589544944691499</v>
      </c>
      <c r="I23" s="12">
        <f>(E23+G23+F23-C23)/C23</f>
        <v>-0.856217313246429</v>
      </c>
      <c r="J23" s="12">
        <f>AVERAGE(I20:I23)</f>
        <v>-0.845263254975267</v>
      </c>
      <c r="K23" s="12"/>
    </row>
    <row r="24" ht="20.05" customHeight="1">
      <c r="B24" s="25"/>
      <c r="C24" s="15">
        <f>5063.2-C23</f>
        <v>2501</v>
      </c>
      <c r="D24" s="16">
        <v>2434.09</v>
      </c>
      <c r="E24" s="16">
        <f>284.6+124.6-E23</f>
        <v>197.8</v>
      </c>
      <c r="F24" s="16">
        <f>1.7-F23</f>
        <v>1</v>
      </c>
      <c r="G24" s="16">
        <f>249.3-G23</f>
        <v>93</v>
      </c>
      <c r="H24" s="12">
        <f>C24/C23-1</f>
        <v>-0.0238857232066193</v>
      </c>
      <c r="I24" s="12">
        <f>(E24+G24+F24-C24)/C24</f>
        <v>-0.883326669332267</v>
      </c>
      <c r="J24" s="12">
        <f>AVERAGE(I21:I24)</f>
        <v>-0.8343213519085519</v>
      </c>
      <c r="K24" s="12"/>
    </row>
    <row r="25" ht="20.05" customHeight="1">
      <c r="B25" s="25"/>
      <c r="C25" s="15">
        <f>8079.3-SUM(C23:C24)</f>
        <v>3016.1</v>
      </c>
      <c r="D25" s="14">
        <v>2751.1</v>
      </c>
      <c r="E25" s="16">
        <f>439.4+187.1-SUM(E23:E24)</f>
        <v>217.3</v>
      </c>
      <c r="F25" s="16">
        <f>-2-SUM(F23:F24)</f>
        <v>-3.7</v>
      </c>
      <c r="G25" s="16">
        <f>459.1-SUM(G23:G24)</f>
        <v>209.8</v>
      </c>
      <c r="H25" s="12">
        <f>C25/C24-1</f>
        <v>0.205957616953219</v>
      </c>
      <c r="I25" s="12">
        <f>(E25+G25+F25-C25)/C25</f>
        <v>-0.859620039123371</v>
      </c>
      <c r="J25" s="12">
        <f>AVERAGE(I22:I25)</f>
        <v>-0.860605286451114</v>
      </c>
      <c r="K25" s="12"/>
    </row>
    <row r="26" ht="20.05" customHeight="1">
      <c r="B26" s="25"/>
      <c r="C26" s="15">
        <f>11218.2-SUM(C23:C25)</f>
        <v>3138.9</v>
      </c>
      <c r="D26" s="14">
        <v>3227.227</v>
      </c>
      <c r="E26" s="16">
        <f>609.1+251.8-SUM(E23:E25)</f>
        <v>234.4</v>
      </c>
      <c r="F26" s="16">
        <f>-4-SUM(F23:F25)</f>
        <v>-2</v>
      </c>
      <c r="G26" s="16">
        <f>720.9-SUM(G23:G25)</f>
        <v>261.8</v>
      </c>
      <c r="H26" s="12">
        <f>C26/C25-1</f>
        <v>0.0407148304101323</v>
      </c>
      <c r="I26" s="12">
        <f>(E26+G26+F26-C26)/C26</f>
        <v>-0.842556309535187</v>
      </c>
      <c r="J26" s="12">
        <f>AVERAGE(I23:I26)</f>
        <v>-0.860430082809314</v>
      </c>
      <c r="K26" s="12">
        <f>J26</f>
        <v>-0.860430082809314</v>
      </c>
    </row>
    <row r="27" ht="20.05" customHeight="1">
      <c r="B27" s="26">
        <v>2022</v>
      </c>
      <c r="C27" s="15"/>
      <c r="D27" s="14">
        <f>'Model'!C6</f>
        <v>2605.287</v>
      </c>
      <c r="E27" s="16"/>
      <c r="F27" s="16"/>
      <c r="G27" s="16"/>
      <c r="H27" s="12"/>
      <c r="I27" s="18"/>
      <c r="J27" s="12"/>
      <c r="K27" s="12">
        <f>'Model'!C7</f>
        <v>-0.842556309535187</v>
      </c>
    </row>
    <row r="28" ht="20.05" customHeight="1">
      <c r="B28" s="25"/>
      <c r="C28" s="15"/>
      <c r="D28" s="16">
        <f>'Model'!D6</f>
        <v>2631.33987</v>
      </c>
      <c r="E28" s="16"/>
      <c r="F28" s="16"/>
      <c r="G28" s="16"/>
      <c r="H28" s="12"/>
      <c r="I28" s="12"/>
      <c r="J28" s="12"/>
      <c r="K28" s="12"/>
    </row>
    <row r="29" ht="20.05" customHeight="1">
      <c r="B29" s="25"/>
      <c r="C29" s="15"/>
      <c r="D29" s="16">
        <f>'Model'!E6</f>
        <v>3157.607844</v>
      </c>
      <c r="E29" s="16"/>
      <c r="F29" s="16"/>
      <c r="G29" s="16"/>
      <c r="H29" s="12"/>
      <c r="I29" s="12"/>
      <c r="J29" s="12"/>
      <c r="K29" s="12"/>
    </row>
    <row r="30" ht="20.05" customHeight="1">
      <c r="B30" s="25"/>
      <c r="C30" s="15"/>
      <c r="D30" s="16">
        <f>'Model'!F6</f>
        <v>3347.06431464</v>
      </c>
      <c r="E30" s="16"/>
      <c r="F30" s="16"/>
      <c r="G30" s="16"/>
      <c r="H30" s="12"/>
      <c r="I30" s="12"/>
      <c r="J30" s="12"/>
      <c r="K30" s="12"/>
    </row>
  </sheetData>
  <mergeCells count="1">
    <mergeCell ref="B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O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25" style="27" customWidth="1"/>
    <col min="2" max="2" width="9.5625" style="27" customWidth="1"/>
    <col min="3" max="15" width="10.3672" style="27" customWidth="1"/>
    <col min="16" max="16384" width="16.3516" style="27" customWidth="1"/>
  </cols>
  <sheetData>
    <row r="1" ht="13.85" customHeight="1"/>
    <row r="2" ht="27.65" customHeight="1">
      <c r="B2" t="s" s="2">
        <v>32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46.75" customHeight="1">
      <c r="B3" t="s" s="5">
        <v>42</v>
      </c>
      <c r="C3" t="s" s="5">
        <v>47</v>
      </c>
      <c r="D3" t="s" s="5">
        <v>8</v>
      </c>
      <c r="E3" t="s" s="5">
        <v>48</v>
      </c>
      <c r="F3" t="s" s="5">
        <v>9</v>
      </c>
      <c r="G3" t="s" s="5">
        <v>49</v>
      </c>
      <c r="H3" t="s" s="5">
        <v>12</v>
      </c>
      <c r="I3" t="s" s="5">
        <v>13</v>
      </c>
      <c r="J3" t="s" s="5">
        <v>11</v>
      </c>
      <c r="K3" t="s" s="5">
        <v>50</v>
      </c>
      <c r="L3" t="s" s="5">
        <v>32</v>
      </c>
      <c r="M3" t="s" s="5">
        <v>51</v>
      </c>
      <c r="N3" t="s" s="5">
        <v>28</v>
      </c>
      <c r="O3" t="s" s="5">
        <v>51</v>
      </c>
    </row>
    <row r="4" ht="21.4" customHeight="1">
      <c r="B4" s="22">
        <v>2016</v>
      </c>
      <c r="C4" s="23">
        <v>2934.6</v>
      </c>
      <c r="D4" s="24">
        <v>216.8</v>
      </c>
      <c r="E4" s="24">
        <v>-107.2</v>
      </c>
      <c r="F4" s="24">
        <v>-2111.6</v>
      </c>
      <c r="G4" s="28"/>
      <c r="H4" s="24"/>
      <c r="I4" s="24"/>
      <c r="J4" s="24">
        <v>1575.11</v>
      </c>
      <c r="K4" s="28">
        <f>D4+F4+G4</f>
        <v>-1894.8</v>
      </c>
      <c r="L4" s="28"/>
      <c r="M4" s="24"/>
      <c r="N4" s="24">
        <f>-J4</f>
        <v>-1575.11</v>
      </c>
      <c r="O4" s="24"/>
    </row>
    <row r="5" ht="21.2" customHeight="1">
      <c r="B5" s="25"/>
      <c r="C5" s="15">
        <v>2650.28</v>
      </c>
      <c r="D5" s="16">
        <v>226.49</v>
      </c>
      <c r="E5" s="16">
        <v>-163.5</v>
      </c>
      <c r="F5" s="16">
        <v>-148.8</v>
      </c>
      <c r="G5" s="29"/>
      <c r="H5" s="16"/>
      <c r="I5" s="16"/>
      <c r="J5" s="16">
        <v>-89.51000000000001</v>
      </c>
      <c r="K5" s="29">
        <f>D5+F5+G5</f>
        <v>77.69</v>
      </c>
      <c r="L5" s="29"/>
      <c r="M5" s="16"/>
      <c r="N5" s="16">
        <f>-J5+N4</f>
        <v>-1485.6</v>
      </c>
      <c r="O5" s="16"/>
    </row>
    <row r="6" ht="21.2" customHeight="1">
      <c r="B6" s="25"/>
      <c r="C6" s="15">
        <v>2188.02</v>
      </c>
      <c r="D6" s="16">
        <v>20.11</v>
      </c>
      <c r="E6" s="16">
        <v>-115.6</v>
      </c>
      <c r="F6" s="16">
        <v>-129.4</v>
      </c>
      <c r="G6" s="29"/>
      <c r="H6" s="16"/>
      <c r="I6" s="16"/>
      <c r="J6" s="16">
        <v>117.4</v>
      </c>
      <c r="K6" s="29">
        <f>D6+F6+G6</f>
        <v>-109.29</v>
      </c>
      <c r="L6" s="29"/>
      <c r="M6" s="16"/>
      <c r="N6" s="16">
        <f>-J6+N5</f>
        <v>-1603</v>
      </c>
      <c r="O6" s="16"/>
    </row>
    <row r="7" ht="21.2" customHeight="1">
      <c r="B7" s="25"/>
      <c r="C7" s="15">
        <v>2635.7</v>
      </c>
      <c r="D7" s="16">
        <v>520.1</v>
      </c>
      <c r="E7" s="16">
        <v>-171.2</v>
      </c>
      <c r="F7" s="16">
        <v>-39.1</v>
      </c>
      <c r="G7" s="29"/>
      <c r="H7" s="16"/>
      <c r="I7" s="16"/>
      <c r="J7" s="16">
        <v>-472</v>
      </c>
      <c r="K7" s="29">
        <f>D7+F7+G7</f>
        <v>481</v>
      </c>
      <c r="L7" s="29"/>
      <c r="M7" s="16"/>
      <c r="N7" s="16">
        <f>-J7+N6</f>
        <v>-1131</v>
      </c>
      <c r="O7" s="16"/>
    </row>
    <row r="8" ht="21.2" customHeight="1">
      <c r="B8" s="26">
        <v>2017</v>
      </c>
      <c r="C8" s="15">
        <v>2283.5</v>
      </c>
      <c r="D8" s="16">
        <v>-288.8</v>
      </c>
      <c r="E8" s="16">
        <v>-45</v>
      </c>
      <c r="F8" s="16">
        <v>41</v>
      </c>
      <c r="G8" s="29"/>
      <c r="H8" s="16"/>
      <c r="I8" s="16"/>
      <c r="J8" s="16">
        <v>76.5</v>
      </c>
      <c r="K8" s="29">
        <f>D8+F8+G8</f>
        <v>-247.8</v>
      </c>
      <c r="L8" s="29">
        <f>AVERAGE(K5:K8)</f>
        <v>50.4</v>
      </c>
      <c r="M8" s="16"/>
      <c r="N8" s="16">
        <f>-J8+N7</f>
        <v>-1207.5</v>
      </c>
      <c r="O8" s="16"/>
    </row>
    <row r="9" ht="21.2" customHeight="1">
      <c r="B9" s="25"/>
      <c r="C9" s="15">
        <v>2347.9</v>
      </c>
      <c r="D9" s="16">
        <v>20.8</v>
      </c>
      <c r="E9" s="16">
        <v>-60.3</v>
      </c>
      <c r="F9" s="16">
        <v>-90.8</v>
      </c>
      <c r="G9" s="29"/>
      <c r="H9" s="16"/>
      <c r="I9" s="16"/>
      <c r="J9" s="16">
        <v>242.5</v>
      </c>
      <c r="K9" s="29">
        <f>D9+F9+G9</f>
        <v>-70</v>
      </c>
      <c r="L9" s="29">
        <f>AVERAGE(K6:K9)</f>
        <v>13.4775</v>
      </c>
      <c r="M9" s="16"/>
      <c r="N9" s="16">
        <f>-J9+N8</f>
        <v>-1450</v>
      </c>
      <c r="O9" s="16"/>
    </row>
    <row r="10" ht="21.2" customHeight="1">
      <c r="B10" s="25"/>
      <c r="C10" s="15">
        <v>2692.3</v>
      </c>
      <c r="D10" s="16">
        <v>433.7</v>
      </c>
      <c r="E10" s="16">
        <v>-74.5</v>
      </c>
      <c r="F10" s="16">
        <v>-66.5</v>
      </c>
      <c r="G10" s="29"/>
      <c r="H10" s="16"/>
      <c r="I10" s="16"/>
      <c r="J10" s="16">
        <v>-328.8</v>
      </c>
      <c r="K10" s="29">
        <f>D10+F10+G10</f>
        <v>367.2</v>
      </c>
      <c r="L10" s="29">
        <f>AVERAGE(K7:K10)</f>
        <v>132.6</v>
      </c>
      <c r="M10" s="16"/>
      <c r="N10" s="16">
        <f>-J10+N9</f>
        <v>-1121.2</v>
      </c>
      <c r="O10" s="16"/>
    </row>
    <row r="11" ht="21.2" customHeight="1">
      <c r="B11" s="25"/>
      <c r="C11" s="15">
        <v>2919.1</v>
      </c>
      <c r="D11" s="16">
        <v>652.7</v>
      </c>
      <c r="E11" s="16">
        <v>-238.6</v>
      </c>
      <c r="F11" s="16">
        <v>-177</v>
      </c>
      <c r="G11" s="29"/>
      <c r="H11" s="16"/>
      <c r="I11" s="16"/>
      <c r="J11" s="16">
        <v>-288.9</v>
      </c>
      <c r="K11" s="29">
        <f>D11+F11+G11</f>
        <v>475.7</v>
      </c>
      <c r="L11" s="29">
        <f>AVERAGE(K8:K11)</f>
        <v>131.275</v>
      </c>
      <c r="M11" s="16"/>
      <c r="N11" s="16">
        <f>-J11+N10</f>
        <v>-832.3</v>
      </c>
      <c r="O11" s="16"/>
    </row>
    <row r="12" ht="21.2" customHeight="1">
      <c r="B12" s="26">
        <v>2018</v>
      </c>
      <c r="C12" s="15">
        <v>2195.27</v>
      </c>
      <c r="D12" s="16">
        <v>-296.3</v>
      </c>
      <c r="E12" s="16">
        <v>-20.9</v>
      </c>
      <c r="F12" s="16">
        <v>-63</v>
      </c>
      <c r="G12" s="29"/>
      <c r="H12" s="16"/>
      <c r="I12" s="16"/>
      <c r="J12" s="16">
        <v>215</v>
      </c>
      <c r="K12" s="29">
        <f>D12+F12+G12</f>
        <v>-359.3</v>
      </c>
      <c r="L12" s="29">
        <f>AVERAGE(K9:K12)</f>
        <v>103.4</v>
      </c>
      <c r="M12" s="16"/>
      <c r="N12" s="16">
        <f>-J12+N11</f>
        <v>-1047.3</v>
      </c>
      <c r="O12" s="16"/>
    </row>
    <row r="13" ht="21.2" customHeight="1">
      <c r="B13" s="25"/>
      <c r="C13" s="15">
        <v>2621.23</v>
      </c>
      <c r="D13" s="16">
        <v>-246.2</v>
      </c>
      <c r="E13" s="16">
        <v>-79.5</v>
      </c>
      <c r="F13" s="16">
        <v>-110.4</v>
      </c>
      <c r="G13" s="29"/>
      <c r="H13" s="16"/>
      <c r="I13" s="16"/>
      <c r="J13" s="16">
        <v>197.6</v>
      </c>
      <c r="K13" s="29">
        <f>D13+F13+G13</f>
        <v>-356.6</v>
      </c>
      <c r="L13" s="29">
        <f>AVERAGE(K10:K13)</f>
        <v>31.75</v>
      </c>
      <c r="M13" s="16"/>
      <c r="N13" s="16">
        <f>-J13+N12</f>
        <v>-1244.9</v>
      </c>
      <c r="O13" s="16"/>
    </row>
    <row r="14" ht="21.2" customHeight="1">
      <c r="B14" s="25"/>
      <c r="C14" s="15">
        <v>3118.7</v>
      </c>
      <c r="D14" s="16">
        <v>538.9</v>
      </c>
      <c r="E14" s="16">
        <v>-159.3</v>
      </c>
      <c r="F14" s="16">
        <v>-139.6</v>
      </c>
      <c r="G14" s="29"/>
      <c r="H14" s="16"/>
      <c r="I14" s="16"/>
      <c r="J14" s="16">
        <v>-318.7</v>
      </c>
      <c r="K14" s="29">
        <f>D14+F14+G14</f>
        <v>399.3</v>
      </c>
      <c r="L14" s="29">
        <f>AVERAGE(K11:K14)</f>
        <v>39.775</v>
      </c>
      <c r="M14" s="16"/>
      <c r="N14" s="16">
        <f>-J14+N13</f>
        <v>-926.2</v>
      </c>
      <c r="O14" s="16"/>
    </row>
    <row r="15" ht="21.2" customHeight="1">
      <c r="B15" s="25"/>
      <c r="C15" s="15">
        <v>3698.7</v>
      </c>
      <c r="D15" s="16">
        <v>408.1</v>
      </c>
      <c r="E15" s="16">
        <v>-267.4</v>
      </c>
      <c r="F15" s="16">
        <v>-121.4</v>
      </c>
      <c r="G15" s="29"/>
      <c r="H15" s="16"/>
      <c r="I15" s="16"/>
      <c r="J15" s="16">
        <v>-271.2</v>
      </c>
      <c r="K15" s="29">
        <f>D15+F15+G15</f>
        <v>286.7</v>
      </c>
      <c r="L15" s="29">
        <f>AVERAGE(K12:K15)</f>
        <v>-7.475</v>
      </c>
      <c r="M15" s="16"/>
      <c r="N15" s="16">
        <f>-J15+N14</f>
        <v>-655</v>
      </c>
      <c r="O15" s="16"/>
    </row>
    <row r="16" ht="21.2" customHeight="1">
      <c r="B16" s="26">
        <v>2019</v>
      </c>
      <c r="C16" s="15">
        <v>2381.5</v>
      </c>
      <c r="D16" s="16">
        <v>-1091</v>
      </c>
      <c r="E16" s="16">
        <v>-539</v>
      </c>
      <c r="F16" s="16">
        <v>-54.8</v>
      </c>
      <c r="G16" s="29"/>
      <c r="H16" s="16"/>
      <c r="I16" s="16"/>
      <c r="J16" s="16">
        <v>1001.8</v>
      </c>
      <c r="K16" s="29">
        <f>D16+F16+G16</f>
        <v>-1145.8</v>
      </c>
      <c r="L16" s="29">
        <f>AVERAGE(K13:K16)</f>
        <v>-204.1</v>
      </c>
      <c r="M16" s="16"/>
      <c r="N16" s="16">
        <f>-J16+N15</f>
        <v>-1656.8</v>
      </c>
      <c r="O16" s="16"/>
    </row>
    <row r="17" ht="21.2" customHeight="1">
      <c r="B17" s="25"/>
      <c r="C17" s="15">
        <v>2287.48</v>
      </c>
      <c r="D17" s="16">
        <v>-529.8</v>
      </c>
      <c r="E17" s="16">
        <v>539</v>
      </c>
      <c r="F17" s="16">
        <v>-111.2</v>
      </c>
      <c r="G17" s="29"/>
      <c r="H17" s="16"/>
      <c r="I17" s="16"/>
      <c r="J17" s="16">
        <v>572.87</v>
      </c>
      <c r="K17" s="29">
        <f>D17+F17+G17</f>
        <v>-641</v>
      </c>
      <c r="L17" s="29">
        <f>AVERAGE(K14:K17)</f>
        <v>-275.2</v>
      </c>
      <c r="M17" s="16"/>
      <c r="N17" s="16">
        <f>-J17+N16</f>
        <v>-2229.67</v>
      </c>
      <c r="O17" s="16"/>
    </row>
    <row r="18" ht="21.2" customHeight="1">
      <c r="B18" s="25"/>
      <c r="C18" s="15">
        <v>3258.2</v>
      </c>
      <c r="D18" s="16">
        <v>640.1</v>
      </c>
      <c r="E18" s="16">
        <v>-244</v>
      </c>
      <c r="F18" s="16">
        <v>-93.06</v>
      </c>
      <c r="G18" s="29"/>
      <c r="H18" s="16"/>
      <c r="I18" s="16"/>
      <c r="J18" s="16">
        <v>-278.77</v>
      </c>
      <c r="K18" s="29">
        <f>D18+F18+G18</f>
        <v>547.04</v>
      </c>
      <c r="L18" s="29">
        <f>AVERAGE(K15:K18)</f>
        <v>-238.265</v>
      </c>
      <c r="M18" s="16"/>
      <c r="N18" s="16">
        <f>-J18+N17</f>
        <v>-1950.9</v>
      </c>
      <c r="O18" s="16"/>
    </row>
    <row r="19" ht="21.2" customHeight="1">
      <c r="B19" s="25"/>
      <c r="C19" s="15">
        <v>3718.72</v>
      </c>
      <c r="D19" s="16">
        <v>927.5</v>
      </c>
      <c r="E19" s="16">
        <v>-295</v>
      </c>
      <c r="F19" s="16">
        <v>-14</v>
      </c>
      <c r="G19" s="29"/>
      <c r="H19" s="16"/>
      <c r="I19" s="16"/>
      <c r="J19" s="16">
        <v>-920.5</v>
      </c>
      <c r="K19" s="29">
        <f>D19+F19+G19</f>
        <v>913.5</v>
      </c>
      <c r="L19" s="29">
        <f>AVERAGE(K16:K19)</f>
        <v>-81.565</v>
      </c>
      <c r="M19" s="16"/>
      <c r="N19" s="16">
        <f>-J19+N18</f>
        <v>-1030.4</v>
      </c>
      <c r="O19" s="16"/>
    </row>
    <row r="20" ht="21.2" customHeight="1">
      <c r="B20" s="26">
        <v>2020</v>
      </c>
      <c r="C20" s="15">
        <v>2707.5</v>
      </c>
      <c r="D20" s="16">
        <v>-37</v>
      </c>
      <c r="E20" s="16">
        <v>-58.3</v>
      </c>
      <c r="F20" s="16">
        <v>-81.28</v>
      </c>
      <c r="G20" s="29">
        <v>-40.5</v>
      </c>
      <c r="H20" s="16"/>
      <c r="I20" s="16"/>
      <c r="J20" s="16">
        <v>4</v>
      </c>
      <c r="K20" s="29">
        <f>D20+F20+G20</f>
        <v>-158.78</v>
      </c>
      <c r="L20" s="29">
        <f>AVERAGE(K17:K20)</f>
        <v>165.19</v>
      </c>
      <c r="M20" s="16"/>
      <c r="N20" s="16">
        <f>-J20+N19</f>
        <v>-1034.4</v>
      </c>
      <c r="O20" s="16"/>
    </row>
    <row r="21" ht="21.2" customHeight="1">
      <c r="B21" s="25"/>
      <c r="C21" s="15">
        <v>2197.65</v>
      </c>
      <c r="D21" s="16">
        <v>167.7</v>
      </c>
      <c r="E21" s="16">
        <v>-106.4</v>
      </c>
      <c r="F21" s="16">
        <v>-52</v>
      </c>
      <c r="G21" s="29">
        <v>-40.5</v>
      </c>
      <c r="H21" s="16"/>
      <c r="I21" s="16"/>
      <c r="J21" s="16">
        <v>-138.19</v>
      </c>
      <c r="K21" s="29">
        <f>D21+F21+G21</f>
        <v>75.2</v>
      </c>
      <c r="L21" s="29">
        <f>AVERAGE(K18:K21)</f>
        <v>344.24</v>
      </c>
      <c r="M21" s="16"/>
      <c r="N21" s="16">
        <f>-J21+N20</f>
        <v>-896.21</v>
      </c>
      <c r="O21" s="16"/>
    </row>
    <row r="22" ht="21.2" customHeight="1">
      <c r="B22" s="25"/>
      <c r="C22" s="15">
        <v>2625.13</v>
      </c>
      <c r="D22" s="16">
        <v>490.3</v>
      </c>
      <c r="E22" s="16">
        <v>-55.5</v>
      </c>
      <c r="F22" s="16">
        <v>-34.07</v>
      </c>
      <c r="G22" s="29">
        <v>-40.5</v>
      </c>
      <c r="H22" s="16"/>
      <c r="I22" s="16"/>
      <c r="J22" s="16">
        <v>-341.31</v>
      </c>
      <c r="K22" s="29">
        <f>D22+F22+G22</f>
        <v>415.73</v>
      </c>
      <c r="L22" s="29">
        <f>AVERAGE(K19:K22)</f>
        <v>311.4125</v>
      </c>
      <c r="M22" s="16"/>
      <c r="N22" s="16">
        <f>-J22+N21</f>
        <v>-554.9</v>
      </c>
      <c r="O22" s="16"/>
    </row>
    <row r="23" ht="21.2" customHeight="1">
      <c r="B23" s="25"/>
      <c r="C23" s="15">
        <v>2545.02</v>
      </c>
      <c r="D23" s="16">
        <v>379</v>
      </c>
      <c r="E23" s="16">
        <v>-244.5</v>
      </c>
      <c r="F23" s="16">
        <v>-177.35</v>
      </c>
      <c r="G23" s="29">
        <v>-40.5</v>
      </c>
      <c r="H23" s="16"/>
      <c r="I23" s="16"/>
      <c r="J23" s="16">
        <v>-35.5</v>
      </c>
      <c r="K23" s="29">
        <f>D23+F23+G23</f>
        <v>161.15</v>
      </c>
      <c r="L23" s="29">
        <f>AVERAGE(K20:K23)</f>
        <v>123.325</v>
      </c>
      <c r="M23" s="16"/>
      <c r="N23" s="16">
        <f>-J23+N22</f>
        <v>-519.4</v>
      </c>
      <c r="O23" s="16"/>
    </row>
    <row r="24" ht="21.2" customHeight="1">
      <c r="B24" s="26">
        <v>2021</v>
      </c>
      <c r="C24" s="15">
        <v>2119.2</v>
      </c>
      <c r="D24" s="29">
        <v>63</v>
      </c>
      <c r="E24" s="16">
        <v>-60.8</v>
      </c>
      <c r="F24" s="29">
        <v>-55.6</v>
      </c>
      <c r="G24" s="29">
        <v>-71.09999999999999</v>
      </c>
      <c r="H24" s="29">
        <v>0</v>
      </c>
      <c r="I24" s="29">
        <v>0</v>
      </c>
      <c r="J24" s="29">
        <f>-71.1</f>
        <v>-71.09999999999999</v>
      </c>
      <c r="K24" s="29">
        <f>D24+F24+G24</f>
        <v>-63.7</v>
      </c>
      <c r="L24" s="29">
        <f>AVERAGE(K21:K24)</f>
        <v>147.095</v>
      </c>
      <c r="M24" s="16"/>
      <c r="N24" s="16">
        <f>-J24+N23</f>
        <v>-448.3</v>
      </c>
      <c r="O24" s="16"/>
    </row>
    <row r="25" ht="21.2" customHeight="1">
      <c r="B25" s="25"/>
      <c r="C25" s="15">
        <f>4988.2-C24</f>
        <v>2869</v>
      </c>
      <c r="D25" s="29">
        <f>450.6-D24</f>
        <v>387.6</v>
      </c>
      <c r="E25" s="16">
        <v>-64.40000000000001</v>
      </c>
      <c r="F25" s="29">
        <f>-114.7-F24</f>
        <v>-59.1</v>
      </c>
      <c r="G25" s="29">
        <f>-151.3-G24</f>
        <v>-80.2</v>
      </c>
      <c r="H25" s="29">
        <f>-746.1-I25-I24-H24-G25-G24</f>
        <v>-400.1</v>
      </c>
      <c r="I25" s="29">
        <v>-194.7</v>
      </c>
      <c r="J25" s="29">
        <f>-746.1-J24</f>
        <v>-675</v>
      </c>
      <c r="K25" s="29">
        <f>D25+F25+G25</f>
        <v>248.3</v>
      </c>
      <c r="L25" s="29">
        <f>AVERAGE(K22:K25)</f>
        <v>190.37</v>
      </c>
      <c r="M25" s="16"/>
      <c r="N25" s="16">
        <f>-J25+N24</f>
        <v>226.7</v>
      </c>
      <c r="O25" s="16"/>
    </row>
    <row r="26" ht="21.2" customHeight="1">
      <c r="B26" s="25"/>
      <c r="C26" s="15">
        <f>7452.1-SUM(C24:C25)</f>
        <v>2463.9</v>
      </c>
      <c r="D26" s="29">
        <f>864.8-SUM(D24:D25)</f>
        <v>414.2</v>
      </c>
      <c r="E26" s="16">
        <f>-237.6-48.1-SUM(E24:E25)</f>
        <v>-160.5</v>
      </c>
      <c r="F26" s="29">
        <f>-249.3-SUM(F24:F25)</f>
        <v>-134.6</v>
      </c>
      <c r="G26" s="29">
        <f>-224.6-SUM(G24:G25)</f>
        <v>-73.3</v>
      </c>
      <c r="H26" s="16">
        <f>-899.4-I26-I25-I24-H25-H24-G26-G25-G24</f>
        <v>-3199.9</v>
      </c>
      <c r="I26" s="16">
        <f>-194.7+3119.9-I25-I24</f>
        <v>3119.9</v>
      </c>
      <c r="J26" s="29">
        <f>-899.4-SUM(J24:J25)</f>
        <v>-153.3</v>
      </c>
      <c r="K26" s="29">
        <f>D26+F26+G26</f>
        <v>206.3</v>
      </c>
      <c r="L26" s="29">
        <f>AVERAGE(K23:K26)</f>
        <v>138.0125</v>
      </c>
      <c r="M26" s="16"/>
      <c r="N26" s="16">
        <f>-J26+N25</f>
        <v>380</v>
      </c>
      <c r="O26" s="16"/>
    </row>
    <row r="27" ht="21.2" customHeight="1">
      <c r="B27" s="25"/>
      <c r="C27" s="15">
        <f>10223.6-SUM(C24:C26)</f>
        <v>2771.5</v>
      </c>
      <c r="D27" s="29">
        <f>1536.6-SUM(D24:D26)</f>
        <v>671.8</v>
      </c>
      <c r="E27" s="16">
        <f>-485.1-60-SUM(E24:E26)</f>
        <v>-259.4</v>
      </c>
      <c r="F27" s="29">
        <f>-398.5-SUM(F24:F26)</f>
        <v>-149.2</v>
      </c>
      <c r="G27" s="29">
        <f>-281.9-SUM(G24:G26)</f>
        <v>-57.3</v>
      </c>
      <c r="H27" s="29">
        <f>-4000-SUM(H24:H26)</f>
        <v>-400</v>
      </c>
      <c r="I27" s="29">
        <f>3119.9-14.7-194.7-SUM(I24:I26)</f>
        <v>-14.7</v>
      </c>
      <c r="J27" s="29">
        <f>-1371.5-SUM(J24:J26)</f>
        <v>-472.1</v>
      </c>
      <c r="K27" s="29">
        <f>D27+F27+G27</f>
        <v>465.3</v>
      </c>
      <c r="L27" s="29">
        <f>AVERAGE(K24:K27)</f>
        <v>214.05</v>
      </c>
      <c r="M27" s="16">
        <f>L27</f>
        <v>214.05</v>
      </c>
      <c r="N27" s="16">
        <f>-J27+N26</f>
        <v>852.1</v>
      </c>
      <c r="O27" s="16">
        <f>N27</f>
        <v>852.1</v>
      </c>
    </row>
    <row r="28" ht="21.2" customHeight="1">
      <c r="B28" s="26">
        <v>2022</v>
      </c>
      <c r="C28" s="15"/>
      <c r="D28" s="29"/>
      <c r="E28" s="16"/>
      <c r="F28" s="29"/>
      <c r="G28" s="29"/>
      <c r="H28" s="29"/>
      <c r="I28" s="29"/>
      <c r="J28" s="29"/>
      <c r="K28" s="29"/>
      <c r="L28" s="18"/>
      <c r="M28" s="29">
        <f>SUM('Model'!F9:F11)</f>
        <v>343.44915792</v>
      </c>
      <c r="N28" s="18"/>
      <c r="O28" s="16">
        <f>'Model'!F33</f>
        <v>1737.39344992</v>
      </c>
    </row>
  </sheetData>
  <mergeCells count="1">
    <mergeCell ref="B2:O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30" customWidth="1"/>
    <col min="2" max="11" width="9.21875" style="30" customWidth="1"/>
    <col min="12" max="16384" width="16.3516" style="30" customWidth="1"/>
  </cols>
  <sheetData>
    <row r="1" ht="7.55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42</v>
      </c>
      <c r="C3" t="s" s="5">
        <v>52</v>
      </c>
      <c r="D3" t="s" s="5">
        <v>53</v>
      </c>
      <c r="E3" t="s" s="5">
        <v>22</v>
      </c>
      <c r="F3" t="s" s="5">
        <v>23</v>
      </c>
      <c r="G3" t="s" s="5">
        <v>12</v>
      </c>
      <c r="H3" t="s" s="5">
        <v>13</v>
      </c>
      <c r="I3" t="s" s="5">
        <v>54</v>
      </c>
      <c r="J3" t="s" s="5">
        <v>26</v>
      </c>
      <c r="K3" t="s" s="5">
        <v>34</v>
      </c>
    </row>
    <row r="4" ht="20.25" customHeight="1">
      <c r="B4" s="22">
        <v>2016</v>
      </c>
      <c r="C4" s="23">
        <v>301</v>
      </c>
      <c r="D4" s="24">
        <v>20425</v>
      </c>
      <c r="E4" s="24">
        <f>D4-C4</f>
        <v>20124</v>
      </c>
      <c r="F4" s="24">
        <v>8708</v>
      </c>
      <c r="G4" s="24">
        <v>11908</v>
      </c>
      <c r="H4" s="24">
        <v>8517</v>
      </c>
      <c r="I4" s="24">
        <f>G4+H4-C4-E4</f>
        <v>0</v>
      </c>
      <c r="J4" s="24">
        <f>C4-G4</f>
        <v>-11607</v>
      </c>
      <c r="K4" s="24"/>
    </row>
    <row r="5" ht="20.05" customHeight="1">
      <c r="B5" s="25"/>
      <c r="C5" s="15">
        <v>281</v>
      </c>
      <c r="D5" s="16">
        <v>20141</v>
      </c>
      <c r="E5" s="16">
        <f>D5-C5</f>
        <v>19860</v>
      </c>
      <c r="F5" s="16">
        <v>9002</v>
      </c>
      <c r="G5" s="16">
        <v>11857</v>
      </c>
      <c r="H5" s="16">
        <v>8284</v>
      </c>
      <c r="I5" s="16">
        <f>G5+H5-C5-E5</f>
        <v>0</v>
      </c>
      <c r="J5" s="16">
        <f>C5-G5</f>
        <v>-11576</v>
      </c>
      <c r="K5" s="16"/>
    </row>
    <row r="6" ht="20.05" customHeight="1">
      <c r="B6" s="25"/>
      <c r="C6" s="15">
        <v>288</v>
      </c>
      <c r="D6" s="16">
        <v>19873</v>
      </c>
      <c r="E6" s="16">
        <f>D6-C6</f>
        <v>19585</v>
      </c>
      <c r="F6" s="16">
        <v>9302</v>
      </c>
      <c r="G6" s="16">
        <v>11698</v>
      </c>
      <c r="H6" s="16">
        <v>8175</v>
      </c>
      <c r="I6" s="16">
        <f>G6+H6-C6-E6</f>
        <v>0</v>
      </c>
      <c r="J6" s="16">
        <f>C6-G6</f>
        <v>-11410</v>
      </c>
      <c r="K6" s="16"/>
    </row>
    <row r="7" ht="20.05" customHeight="1">
      <c r="B7" s="25"/>
      <c r="C7" s="15">
        <v>324</v>
      </c>
      <c r="D7" s="16">
        <v>19763</v>
      </c>
      <c r="E7" s="16">
        <f>D7-C7</f>
        <v>19439</v>
      </c>
      <c r="F7" s="16">
        <v>9465</v>
      </c>
      <c r="G7" s="16">
        <v>11703</v>
      </c>
      <c r="H7" s="16">
        <v>8060</v>
      </c>
      <c r="I7" s="16">
        <f>G7+H7-C7-E7</f>
        <v>0</v>
      </c>
      <c r="J7" s="16">
        <f>C7-G7</f>
        <v>-11379</v>
      </c>
      <c r="K7" s="16"/>
    </row>
    <row r="8" ht="20.05" customHeight="1">
      <c r="B8" s="26">
        <v>2017</v>
      </c>
      <c r="C8" s="15">
        <v>181</v>
      </c>
      <c r="D8" s="16">
        <v>19639</v>
      </c>
      <c r="E8" s="16">
        <f>D8-C8</f>
        <v>19458</v>
      </c>
      <c r="F8" s="16">
        <v>9718</v>
      </c>
      <c r="G8" s="16">
        <v>11695</v>
      </c>
      <c r="H8" s="16">
        <v>7944</v>
      </c>
      <c r="I8" s="16">
        <f>G8+H8-C8-E8</f>
        <v>0</v>
      </c>
      <c r="J8" s="16">
        <f>C8-G8</f>
        <v>-11514</v>
      </c>
      <c r="K8" s="16"/>
    </row>
    <row r="9" ht="20.05" customHeight="1">
      <c r="B9" s="25"/>
      <c r="C9" s="15">
        <v>324</v>
      </c>
      <c r="D9" s="16">
        <v>19557</v>
      </c>
      <c r="E9" s="16">
        <f>D9-C9</f>
        <v>19233</v>
      </c>
      <c r="F9" s="16">
        <v>9965</v>
      </c>
      <c r="G9" s="16">
        <v>11953</v>
      </c>
      <c r="H9" s="16">
        <v>7604</v>
      </c>
      <c r="I9" s="16">
        <f>G9+H9-C9-E9</f>
        <v>0</v>
      </c>
      <c r="J9" s="16">
        <f>C9-G9</f>
        <v>-11629</v>
      </c>
      <c r="K9" s="16"/>
    </row>
    <row r="10" ht="20.05" customHeight="1">
      <c r="B10" s="25"/>
      <c r="C10" s="15">
        <v>363</v>
      </c>
      <c r="D10" s="16">
        <v>19371</v>
      </c>
      <c r="E10" s="16">
        <f>D10-C10</f>
        <v>19008</v>
      </c>
      <c r="F10" s="16">
        <v>10232</v>
      </c>
      <c r="G10" s="16">
        <v>11979</v>
      </c>
      <c r="H10" s="16">
        <v>7392</v>
      </c>
      <c r="I10" s="16">
        <f>G10+H10-C10-E10</f>
        <v>0</v>
      </c>
      <c r="J10" s="16">
        <f>C10-G10</f>
        <v>-11616</v>
      </c>
      <c r="K10" s="16"/>
    </row>
    <row r="11" ht="20.05" customHeight="1">
      <c r="B11" s="25"/>
      <c r="C11" s="15">
        <v>548</v>
      </c>
      <c r="D11" s="16">
        <v>19626</v>
      </c>
      <c r="E11" s="16">
        <f>D11-C11</f>
        <v>19078</v>
      </c>
      <c r="F11" s="16">
        <v>10432</v>
      </c>
      <c r="G11" s="16">
        <v>12429</v>
      </c>
      <c r="H11" s="16">
        <v>7197</v>
      </c>
      <c r="I11" s="16">
        <f>G11+H11-C11-E11</f>
        <v>0</v>
      </c>
      <c r="J11" s="16">
        <f>C11-G11</f>
        <v>-11881</v>
      </c>
      <c r="K11" s="16"/>
    </row>
    <row r="12" ht="20.05" customHeight="1">
      <c r="B12" s="26">
        <v>2018</v>
      </c>
      <c r="C12" s="15">
        <v>410</v>
      </c>
      <c r="D12" s="16">
        <v>19528</v>
      </c>
      <c r="E12" s="16">
        <f>D12-C12</f>
        <v>19118</v>
      </c>
      <c r="F12" s="16">
        <v>10664</v>
      </c>
      <c r="G12" s="16">
        <v>12675</v>
      </c>
      <c r="H12" s="16">
        <v>6853</v>
      </c>
      <c r="I12" s="16">
        <f>G12+H12-C12-E12</f>
        <v>0</v>
      </c>
      <c r="J12" s="16">
        <f>C12-G12</f>
        <v>-12265</v>
      </c>
      <c r="K12" s="16"/>
    </row>
    <row r="13" ht="20.05" customHeight="1">
      <c r="B13" s="25"/>
      <c r="C13" s="15">
        <v>251</v>
      </c>
      <c r="D13" s="16">
        <v>18949</v>
      </c>
      <c r="E13" s="16">
        <f>D13-C13</f>
        <v>18698</v>
      </c>
      <c r="F13" s="16">
        <v>10860</v>
      </c>
      <c r="G13" s="16">
        <v>12308</v>
      </c>
      <c r="H13" s="16">
        <v>6641</v>
      </c>
      <c r="I13" s="16">
        <f>G13+H13-C13-E13</f>
        <v>0</v>
      </c>
      <c r="J13" s="16">
        <f>C13-G13</f>
        <v>-12057</v>
      </c>
      <c r="K13" s="16"/>
    </row>
    <row r="14" ht="20.05" customHeight="1">
      <c r="B14" s="25"/>
      <c r="C14" s="15">
        <v>325</v>
      </c>
      <c r="D14" s="16">
        <v>18947</v>
      </c>
      <c r="E14" s="16">
        <f>D14-C14</f>
        <v>18622</v>
      </c>
      <c r="F14" s="16">
        <v>11100</v>
      </c>
      <c r="G14" s="16">
        <v>12415</v>
      </c>
      <c r="H14" s="16">
        <v>6532</v>
      </c>
      <c r="I14" s="16">
        <f>G14+H14-C14-E14</f>
        <v>0</v>
      </c>
      <c r="J14" s="16">
        <f>C14-G14</f>
        <v>-12090</v>
      </c>
      <c r="K14" s="16"/>
    </row>
    <row r="15" ht="20.05" customHeight="1">
      <c r="B15" s="25"/>
      <c r="C15" s="15">
        <v>337</v>
      </c>
      <c r="D15" s="16">
        <v>18667</v>
      </c>
      <c r="E15" s="16">
        <f>D15-C15</f>
        <v>18330</v>
      </c>
      <c r="F15" s="16">
        <f>11365</f>
        <v>11365</v>
      </c>
      <c r="G15" s="16">
        <v>12251</v>
      </c>
      <c r="H15" s="16">
        <v>6416</v>
      </c>
      <c r="I15" s="16">
        <f>G15+H15-C15-E15</f>
        <v>0</v>
      </c>
      <c r="J15" s="16">
        <f>C15-G15</f>
        <v>-11914</v>
      </c>
      <c r="K15" s="16"/>
    </row>
    <row r="16" ht="20.05" customHeight="1">
      <c r="B16" s="26">
        <v>2019</v>
      </c>
      <c r="C16" s="15">
        <v>192</v>
      </c>
      <c r="D16" s="16">
        <v>18866</v>
      </c>
      <c r="E16" s="16">
        <f>D16-C16</f>
        <v>18674</v>
      </c>
      <c r="F16" s="16">
        <f>143+11512</f>
        <v>11655</v>
      </c>
      <c r="G16" s="16">
        <v>12574</v>
      </c>
      <c r="H16" s="16">
        <v>6292</v>
      </c>
      <c r="I16" s="16">
        <f>G16+H16-C16-E16</f>
        <v>0</v>
      </c>
      <c r="J16" s="16">
        <f>C16-G16</f>
        <v>-12382</v>
      </c>
      <c r="K16" s="16"/>
    </row>
    <row r="17" ht="20.05" customHeight="1">
      <c r="B17" s="25"/>
      <c r="C17" s="15">
        <v>124</v>
      </c>
      <c r="D17" s="16">
        <v>19037</v>
      </c>
      <c r="E17" s="16">
        <f>D17-C17</f>
        <v>18913</v>
      </c>
      <c r="F17" s="16">
        <f>81+11684</f>
        <v>11765</v>
      </c>
      <c r="G17" s="16">
        <v>12902</v>
      </c>
      <c r="H17" s="16">
        <v>6135</v>
      </c>
      <c r="I17" s="16">
        <f>G17+H17-C17-E17</f>
        <v>0</v>
      </c>
      <c r="J17" s="16">
        <f>C17-G17</f>
        <v>-12778</v>
      </c>
      <c r="K17" s="16"/>
    </row>
    <row r="18" ht="20.05" customHeight="1">
      <c r="B18" s="25"/>
      <c r="C18" s="15">
        <v>395</v>
      </c>
      <c r="D18" s="16">
        <v>19391</v>
      </c>
      <c r="E18" s="16">
        <f>D18-C18</f>
        <v>18996</v>
      </c>
      <c r="F18" s="16">
        <f>82.5+11780.9</f>
        <v>11863.4</v>
      </c>
      <c r="G18" s="16">
        <v>12845</v>
      </c>
      <c r="H18" s="16">
        <v>6546</v>
      </c>
      <c r="I18" s="16">
        <f>G18+H18-C18-E18</f>
        <v>0</v>
      </c>
      <c r="J18" s="16">
        <f>C18-G18</f>
        <v>-12450</v>
      </c>
      <c r="K18" s="16"/>
    </row>
    <row r="19" ht="20.05" customHeight="1">
      <c r="B19" s="25"/>
      <c r="C19" s="15">
        <v>387</v>
      </c>
      <c r="D19" s="16">
        <v>19568</v>
      </c>
      <c r="E19" s="16">
        <f>D19-C19</f>
        <v>19181</v>
      </c>
      <c r="F19" s="16">
        <f>11840</f>
        <v>11840</v>
      </c>
      <c r="G19" s="16">
        <v>12585</v>
      </c>
      <c r="H19" s="16">
        <v>6983</v>
      </c>
      <c r="I19" s="16">
        <f>G19+H19-C19-E19</f>
        <v>0</v>
      </c>
      <c r="J19" s="16">
        <f>C19-G19</f>
        <v>-12198</v>
      </c>
      <c r="K19" s="16"/>
    </row>
    <row r="20" ht="20.05" customHeight="1">
      <c r="B20" s="26">
        <v>2020</v>
      </c>
      <c r="C20" s="15">
        <v>274</v>
      </c>
      <c r="D20" s="16">
        <v>19476</v>
      </c>
      <c r="E20" s="16">
        <f>D20-C20</f>
        <v>19202</v>
      </c>
      <c r="F20" s="16">
        <f>1+11942</f>
        <v>11943</v>
      </c>
      <c r="G20" s="16">
        <v>12417</v>
      </c>
      <c r="H20" s="16">
        <v>7059</v>
      </c>
      <c r="I20" s="16">
        <f>G20+H20-C20-E20</f>
        <v>0</v>
      </c>
      <c r="J20" s="16">
        <f>C20-G20</f>
        <v>-12143</v>
      </c>
      <c r="K20" s="16"/>
    </row>
    <row r="21" ht="20.05" customHeight="1">
      <c r="B21" s="25"/>
      <c r="C21" s="15">
        <v>248</v>
      </c>
      <c r="D21" s="16">
        <v>19504</v>
      </c>
      <c r="E21" s="16">
        <f>D21-C21</f>
        <v>19256</v>
      </c>
      <c r="F21" s="16">
        <f>14+12092</f>
        <v>12106</v>
      </c>
      <c r="G21" s="16">
        <v>12431</v>
      </c>
      <c r="H21" s="16">
        <v>7073</v>
      </c>
      <c r="I21" s="16">
        <f>G21+H21-C21-E21</f>
        <v>0</v>
      </c>
      <c r="J21" s="16">
        <f>C21-G21</f>
        <v>-12183</v>
      </c>
      <c r="K21" s="16"/>
    </row>
    <row r="22" ht="20.05" customHeight="1">
      <c r="B22" s="25"/>
      <c r="C22" s="15">
        <v>362</v>
      </c>
      <c r="D22" s="16">
        <v>20255</v>
      </c>
      <c r="E22" s="16">
        <f>D22-C22</f>
        <v>19893</v>
      </c>
      <c r="F22" s="16">
        <f>215+12245</f>
        <v>12460</v>
      </c>
      <c r="G22" s="16">
        <v>12883</v>
      </c>
      <c r="H22" s="16">
        <v>7372</v>
      </c>
      <c r="I22" s="16">
        <f>G22+H22-C22-E22</f>
        <v>0</v>
      </c>
      <c r="J22" s="16">
        <f>C22-G22</f>
        <v>-12521</v>
      </c>
      <c r="K22" s="16"/>
    </row>
    <row r="23" ht="20.05" customHeight="1">
      <c r="B23" s="25"/>
      <c r="C23" s="15">
        <v>527</v>
      </c>
      <c r="D23" s="16">
        <v>20738</v>
      </c>
      <c r="E23" s="16">
        <f>D23-C23</f>
        <v>20211</v>
      </c>
      <c r="F23" s="16">
        <f>288+12354</f>
        <v>12642</v>
      </c>
      <c r="G23" s="16">
        <v>13172</v>
      </c>
      <c r="H23" s="16">
        <v>7566</v>
      </c>
      <c r="I23" s="16">
        <f>G23+H23-C23-E23</f>
        <v>0</v>
      </c>
      <c r="J23" s="16">
        <f>C23-G23</f>
        <v>-12645</v>
      </c>
      <c r="K23" s="16"/>
    </row>
    <row r="24" ht="20.05" customHeight="1">
      <c r="B24" s="26">
        <v>2021</v>
      </c>
      <c r="C24" s="15">
        <v>463</v>
      </c>
      <c r="D24" s="16">
        <v>21106</v>
      </c>
      <c r="E24" s="16">
        <f>D24-C24</f>
        <v>20643</v>
      </c>
      <c r="F24" s="16">
        <f>F23+'Sales'!E23</f>
        <v>12853.4</v>
      </c>
      <c r="G24" s="16">
        <v>13579</v>
      </c>
      <c r="H24" s="16">
        <v>7527</v>
      </c>
      <c r="I24" s="16">
        <f>G24+H24-C24-E24</f>
        <v>0</v>
      </c>
      <c r="J24" s="16">
        <f>C24-G24</f>
        <v>-13116</v>
      </c>
      <c r="K24" s="16"/>
    </row>
    <row r="25" ht="20.05" customHeight="1">
      <c r="B25" s="25"/>
      <c r="C25" s="15">
        <v>118</v>
      </c>
      <c r="D25" s="16">
        <v>20654</v>
      </c>
      <c r="E25" s="16">
        <f>D25-C25</f>
        <v>20536</v>
      </c>
      <c r="F25" s="16">
        <f>411+12638</f>
        <v>13049</v>
      </c>
      <c r="G25" s="16">
        <v>13034</v>
      </c>
      <c r="H25" s="16">
        <v>7620</v>
      </c>
      <c r="I25" s="16">
        <f>G25+H25-C25-E25</f>
        <v>0</v>
      </c>
      <c r="J25" s="16">
        <f>C25-G25</f>
        <v>-12916</v>
      </c>
      <c r="K25" s="16"/>
    </row>
    <row r="26" ht="20.05" customHeight="1">
      <c r="B26" s="25"/>
      <c r="C26" s="15">
        <v>244</v>
      </c>
      <c r="D26" s="16">
        <v>21039</v>
      </c>
      <c r="E26" s="16">
        <f>D26-C26</f>
        <v>20795</v>
      </c>
      <c r="F26" s="16">
        <f>12792+474</f>
        <v>13266</v>
      </c>
      <c r="G26" s="16">
        <f>10101</f>
        <v>10101</v>
      </c>
      <c r="H26" s="16">
        <v>10938</v>
      </c>
      <c r="I26" s="16">
        <f>G26+H26-C26-E26</f>
        <v>0</v>
      </c>
      <c r="J26" s="16">
        <f>C26-G26</f>
        <v>-9857</v>
      </c>
      <c r="K26" s="16"/>
    </row>
    <row r="27" ht="20.05" customHeight="1">
      <c r="B27" s="25"/>
      <c r="C27" s="15">
        <v>291</v>
      </c>
      <c r="D27" s="16">
        <v>21492</v>
      </c>
      <c r="E27" s="16">
        <f>D27-C27</f>
        <v>21201</v>
      </c>
      <c r="F27" s="16">
        <f>539+12849</f>
        <v>13388</v>
      </c>
      <c r="G27" s="16">
        <v>10310</v>
      </c>
      <c r="H27" s="16">
        <v>11182</v>
      </c>
      <c r="I27" s="16">
        <f>G27+H27-C27-E27</f>
        <v>0</v>
      </c>
      <c r="J27" s="16">
        <f>C27-G27</f>
        <v>-10019</v>
      </c>
      <c r="K27" s="16">
        <f>J27</f>
        <v>-10019</v>
      </c>
    </row>
    <row r="28" ht="20.05" customHeight="1">
      <c r="B28" s="26">
        <v>2022</v>
      </c>
      <c r="C28" s="15"/>
      <c r="D28" s="16"/>
      <c r="E28" s="16"/>
      <c r="F28" s="16"/>
      <c r="G28" s="16"/>
      <c r="H28" s="16"/>
      <c r="I28" s="16"/>
      <c r="J28" s="16"/>
      <c r="K28" s="16">
        <f>'Model'!F31</f>
        <v>-8951.004585056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31" customWidth="1"/>
    <col min="2" max="4" width="9.9375" style="31" customWidth="1"/>
    <col min="5" max="16384" width="16.3516" style="31" customWidth="1"/>
  </cols>
  <sheetData>
    <row r="1" ht="30.75" customHeight="1"/>
    <row r="2" ht="27.65" customHeight="1">
      <c r="B2" t="s" s="2">
        <v>55</v>
      </c>
      <c r="C2" s="2"/>
      <c r="D2" s="2"/>
    </row>
    <row r="3" ht="20.25" customHeight="1">
      <c r="B3" s="4"/>
      <c r="C3" t="s" s="32">
        <v>56</v>
      </c>
      <c r="D3" t="s" s="32">
        <v>57</v>
      </c>
    </row>
    <row r="4" ht="20.25" customHeight="1">
      <c r="B4" s="22">
        <v>2018</v>
      </c>
      <c r="C4" s="33">
        <v>800</v>
      </c>
      <c r="D4" s="8"/>
    </row>
    <row r="5" ht="20.05" customHeight="1">
      <c r="B5" s="25"/>
      <c r="C5" s="34">
        <v>565</v>
      </c>
      <c r="D5" s="18"/>
    </row>
    <row r="6" ht="20.05" customHeight="1">
      <c r="B6" s="25"/>
      <c r="C6" s="35">
        <v>1055</v>
      </c>
      <c r="D6" s="18"/>
    </row>
    <row r="7" ht="20.05" customHeight="1">
      <c r="B7" s="25"/>
      <c r="C7" s="35">
        <v>1885</v>
      </c>
      <c r="D7" s="18"/>
    </row>
    <row r="8" ht="20.05" customHeight="1">
      <c r="B8" s="26">
        <v>2019</v>
      </c>
      <c r="C8" s="35">
        <v>2060</v>
      </c>
      <c r="D8" s="18"/>
    </row>
    <row r="9" ht="20.05" customHeight="1">
      <c r="B9" s="25"/>
      <c r="C9" s="35">
        <v>1570</v>
      </c>
      <c r="D9" s="18"/>
    </row>
    <row r="10" ht="20.05" customHeight="1">
      <c r="B10" s="25"/>
      <c r="C10" s="35">
        <v>1340</v>
      </c>
      <c r="D10" s="18"/>
    </row>
    <row r="11" ht="20.05" customHeight="1">
      <c r="B11" s="25"/>
      <c r="C11" s="35">
        <v>1180</v>
      </c>
      <c r="D11" s="18"/>
    </row>
    <row r="12" ht="20.05" customHeight="1">
      <c r="B12" s="26">
        <v>2020</v>
      </c>
      <c r="C12" s="34">
        <v>660</v>
      </c>
      <c r="D12" s="18"/>
    </row>
    <row r="13" ht="20.05" customHeight="1">
      <c r="B13" s="25"/>
      <c r="C13" s="35">
        <v>1080</v>
      </c>
      <c r="D13" s="18"/>
    </row>
    <row r="14" ht="20.05" customHeight="1">
      <c r="B14" s="25"/>
      <c r="C14" s="34">
        <v>970</v>
      </c>
      <c r="D14" s="18"/>
    </row>
    <row r="15" ht="20.05" customHeight="1">
      <c r="B15" s="25"/>
      <c r="C15" s="35">
        <v>1440</v>
      </c>
      <c r="D15" s="18"/>
    </row>
    <row r="16" ht="20.05" customHeight="1">
      <c r="B16" s="26">
        <v>2021</v>
      </c>
      <c r="C16" s="35">
        <v>1710</v>
      </c>
      <c r="D16" s="18"/>
    </row>
    <row r="17" ht="20.05" customHeight="1">
      <c r="B17" s="25"/>
      <c r="C17" s="35">
        <v>1765</v>
      </c>
      <c r="D17" s="18"/>
    </row>
    <row r="18" ht="20.05" customHeight="1">
      <c r="B18" s="25"/>
      <c r="C18" s="35">
        <v>1765</v>
      </c>
      <c r="D18" s="36"/>
    </row>
    <row r="19" ht="20.05" customHeight="1">
      <c r="B19" s="25"/>
      <c r="C19" s="35">
        <v>1690</v>
      </c>
      <c r="D19" s="36"/>
    </row>
    <row r="20" ht="20.05" customHeight="1">
      <c r="B20" s="26">
        <v>2022</v>
      </c>
      <c r="C20" s="35">
        <v>1680</v>
      </c>
      <c r="D20" s="37">
        <f>C20</f>
        <v>1680</v>
      </c>
    </row>
    <row r="21" ht="20.05" customHeight="1">
      <c r="B21" s="25"/>
      <c r="C21" s="35"/>
      <c r="D21" s="37">
        <f>'Model'!F43</f>
        <v>2348.160456861150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