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<sst xmlns="http://schemas.openxmlformats.org/spreadsheetml/2006/main" uniqueCount="93">
  <si>
    <t>Financial model</t>
  </si>
  <si>
    <t>Rpbn</t>
  </si>
  <si>
    <t>4Q 2022</t>
  </si>
  <si>
    <t>Cashflow</t>
  </si>
  <si>
    <t xml:space="preserve">Sales growth </t>
  </si>
  <si>
    <t>Sales</t>
  </si>
  <si>
    <t>Cost ratio</t>
  </si>
  <si>
    <t>Cash costs</t>
  </si>
  <si>
    <t xml:space="preserve">Operating </t>
  </si>
  <si>
    <t xml:space="preserve">Investment </t>
  </si>
  <si>
    <t xml:space="preserve">Leases </t>
  </si>
  <si>
    <t xml:space="preserve">Finance </t>
  </si>
  <si>
    <t xml:space="preserve">Liabilities </t>
  </si>
  <si>
    <t>Revolver</t>
  </si>
  <si>
    <t xml:space="preserve">Payout </t>
  </si>
  <si>
    <t>Equity</t>
  </si>
  <si>
    <t>Before revolver</t>
  </si>
  <si>
    <t>Beginning</t>
  </si>
  <si>
    <t xml:space="preserve">Change </t>
  </si>
  <si>
    <t>Ending</t>
  </si>
  <si>
    <t>Profit</t>
  </si>
  <si>
    <t xml:space="preserve">Non cash costs </t>
  </si>
  <si>
    <t>Net profit</t>
  </si>
  <si>
    <t>Balance sheet</t>
  </si>
  <si>
    <t>Other assets</t>
  </si>
  <si>
    <t xml:space="preserve">Depreciation </t>
  </si>
  <si>
    <t>Net other assets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</si>
  <si>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</si>
  <si>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</si>
  <si>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</si>
  <si>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</si>
  <si>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</si>
  <si>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</si>
  <si>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</si>
  <si>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</si>
  <si>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</si>
  <si>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</si>
  <si>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</si>
  <si>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</si>
  <si>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</si>
  <si>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</si>
  <si>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</si>
  <si>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</si>
  <si>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Profit quarterly</t>
  </si>
  <si>
    <t>FX loss (gain)</t>
  </si>
  <si>
    <t xml:space="preserve">Profit </t>
  </si>
  <si>
    <t>Cash flow quarterly</t>
  </si>
  <si>
    <t xml:space="preserve">Receipts </t>
  </si>
  <si>
    <t xml:space="preserve">Operating  </t>
  </si>
  <si>
    <t>Leases</t>
  </si>
  <si>
    <t xml:space="preserve">Equity </t>
  </si>
  <si>
    <t>Finance</t>
  </si>
  <si>
    <t xml:space="preserve">Free cashflow </t>
  </si>
  <si>
    <t xml:space="preserve">Cash </t>
  </si>
  <si>
    <t>Assets</t>
  </si>
  <si>
    <t>Monthly share price</t>
  </si>
  <si>
    <t xml:space="preserve"> Tn</t>
  </si>
  <si>
    <t>SMAR</t>
  </si>
  <si>
    <t xml:space="preserve">Previous </t>
  </si>
  <si>
    <t>Capital</t>
  </si>
  <si>
    <t xml:space="preserve">Total </t>
  </si>
  <si>
    <t>Table 1</t>
  </si>
  <si>
    <t>Market value</t>
  </si>
  <si>
    <t xml:space="preserve">capital history </t>
  </si>
  <si>
    <t xml:space="preserve">Start date </t>
  </si>
  <si>
    <t xml:space="preserve">Number of quarters </t>
  </si>
  <si>
    <t xml:space="preserve">Market value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</si>
  <si>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</si>
  <si>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</si>
  <si>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</si>
  <si>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</si>
  <si>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</si>
  <si>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</si>
  <si>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>of market value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</si>
  <si>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</si>
  <si>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</si>
  <si>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</si>
  <si>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</si>
  <si>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</si>
  <si>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</si>
  <si>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</si>
  <si>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</si>
  <si>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</si>
  <si>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</si>
  <si>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>paid</t>
  </si>
  <si>
    <t xml:space="preserve">equity </t>
  </si>
  <si>
    <t>was</t>
  </si>
  <si>
    <t xml:space="preserve">The peak in cumulative equity </t>
  </si>
  <si>
    <t>is</t>
  </si>
  <si>
    <t>down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</si>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</sst>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[$IDR]0"/>
    <numFmt numFmtId="62" formatCode="d mmm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4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3" borderId="7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1552"/>
          <c:y val="0.0446026"/>
          <c:w val="0.83987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'Capital'!$A$3:$A$20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'Capital'!$E$3:$E$20</c:f>
              <c:numCache>
                <c:ptCount val="18"/>
                <c:pt idx="0">
                  <c:v>249.000000</c:v>
                </c:pt>
                <c:pt idx="1">
                  <c:v>516.000000</c:v>
                </c:pt>
                <c:pt idx="2">
                  <c:v>839.000000</c:v>
                </c:pt>
                <c:pt idx="3">
                  <c:v>1250.000000</c:v>
                </c:pt>
                <c:pt idx="4">
                  <c:v>1635.000000</c:v>
                </c:pt>
                <c:pt idx="5">
                  <c:v>2525.000000</c:v>
                </c:pt>
                <c:pt idx="6">
                  <c:v>2233.000000</c:v>
                </c:pt>
                <c:pt idx="7">
                  <c:v>1251.000000</c:v>
                </c:pt>
                <c:pt idx="8">
                  <c:v>3974.000000</c:v>
                </c:pt>
                <c:pt idx="9">
                  <c:v>5411.000000</c:v>
                </c:pt>
                <c:pt idx="10">
                  <c:v>7705.000000</c:v>
                </c:pt>
                <c:pt idx="11">
                  <c:v>8224.000000</c:v>
                </c:pt>
                <c:pt idx="12">
                  <c:v>8551.000000</c:v>
                </c:pt>
                <c:pt idx="13">
                  <c:v>8955.000000</c:v>
                </c:pt>
                <c:pt idx="14">
                  <c:v>8864.000000</c:v>
                </c:pt>
                <c:pt idx="15">
                  <c:v>13483.000000</c:v>
                </c:pt>
                <c:pt idx="16">
                  <c:v>15144.700000</c:v>
                </c:pt>
                <c:pt idx="17">
                  <c:v>16652.900000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'Capital'!$A$3:$A$20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'Capital'!$F$3:$F$20</c:f>
              <c:numCache>
                <c:ptCount val="18"/>
                <c:pt idx="0">
                  <c:v>0.000000</c:v>
                </c:pt>
                <c:pt idx="1">
                  <c:v>0.000000</c:v>
                </c:pt>
                <c:pt idx="2">
                  <c:v>-132.000000</c:v>
                </c:pt>
                <c:pt idx="3">
                  <c:v>-146.000000</c:v>
                </c:pt>
                <c:pt idx="4">
                  <c:v>-663.000000</c:v>
                </c:pt>
                <c:pt idx="5">
                  <c:v>-878.000000</c:v>
                </c:pt>
                <c:pt idx="6">
                  <c:v>-1309.000000</c:v>
                </c:pt>
                <c:pt idx="7">
                  <c:v>-1883.000000</c:v>
                </c:pt>
                <c:pt idx="8">
                  <c:v>-5329.000000</c:v>
                </c:pt>
                <c:pt idx="9">
                  <c:v>-5343.000000</c:v>
                </c:pt>
                <c:pt idx="10">
                  <c:v>-5372.000000</c:v>
                </c:pt>
                <c:pt idx="11">
                  <c:v>-5372.000000</c:v>
                </c:pt>
                <c:pt idx="12">
                  <c:v>-5444.000000</c:v>
                </c:pt>
                <c:pt idx="13">
                  <c:v>-5530.000000</c:v>
                </c:pt>
                <c:pt idx="14">
                  <c:v>-7684.000000</c:v>
                </c:pt>
                <c:pt idx="15">
                  <c:v>-7684.000000</c:v>
                </c:pt>
                <c:pt idx="16">
                  <c:v>-8674.600000</c:v>
                </c:pt>
                <c:pt idx="17">
                  <c:v>-8674.600000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'Capital'!$A$3:$A$20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'Capital'!$G$3:$G$20</c:f>
              <c:numCache>
                <c:ptCount val="18"/>
                <c:pt idx="0">
                  <c:v>249.000000</c:v>
                </c:pt>
                <c:pt idx="1">
                  <c:v>516.000000</c:v>
                </c:pt>
                <c:pt idx="2">
                  <c:v>707.000000</c:v>
                </c:pt>
                <c:pt idx="3">
                  <c:v>1104.000000</c:v>
                </c:pt>
                <c:pt idx="4">
                  <c:v>972.000000</c:v>
                </c:pt>
                <c:pt idx="5">
                  <c:v>1647.000000</c:v>
                </c:pt>
                <c:pt idx="6">
                  <c:v>924.000000</c:v>
                </c:pt>
                <c:pt idx="7">
                  <c:v>-632.000000</c:v>
                </c:pt>
                <c:pt idx="8">
                  <c:v>-1355.000000</c:v>
                </c:pt>
                <c:pt idx="9">
                  <c:v>68.000000</c:v>
                </c:pt>
                <c:pt idx="10">
                  <c:v>2333.000000</c:v>
                </c:pt>
                <c:pt idx="11">
                  <c:v>2852.000000</c:v>
                </c:pt>
                <c:pt idx="12">
                  <c:v>3107.000000</c:v>
                </c:pt>
                <c:pt idx="13">
                  <c:v>3425.000000</c:v>
                </c:pt>
                <c:pt idx="14">
                  <c:v>1180.000000</c:v>
                </c:pt>
                <c:pt idx="15">
                  <c:v>5799.000000</c:v>
                </c:pt>
                <c:pt idx="16">
                  <c:v>6470.100000</c:v>
                </c:pt>
                <c:pt idx="17">
                  <c:v>7978.300000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6750"/>
        <c:minorUnit val="33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02409"/>
          <c:y val="0.0370064"/>
          <c:w val="0.32187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348828</xdr:colOff>
      <xdr:row>1</xdr:row>
      <xdr:rowOff>263663</xdr:rowOff>
    </xdr:from>
    <xdr:to>
      <xdr:col>13</xdr:col>
      <xdr:colOff>777225</xdr:colOff>
      <xdr:row>49</xdr:row>
      <xdr:rowOff>57269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90628" y="861198"/>
          <a:ext cx="9140598" cy="121176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72556</xdr:colOff>
      <xdr:row>22</xdr:row>
      <xdr:rowOff>212485</xdr:rowOff>
    </xdr:from>
    <xdr:to>
      <xdr:col>5</xdr:col>
      <xdr:colOff>374879</xdr:colOff>
      <xdr:row>32</xdr:row>
      <xdr:rowOff>388570</xdr:rowOff>
    </xdr:to>
    <xdr:graphicFrame>
      <xdr:nvGraphicFramePr>
        <xdr:cNvPr id="4" name="2D Line Chart"/>
        <xdr:cNvGraphicFramePr/>
      </xdr:nvGraphicFramePr>
      <xdr:xfrm>
        <a:off x="885356" y="6010670"/>
        <a:ext cx="3553524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382562</xdr:colOff>
      <xdr:row>20</xdr:row>
      <xdr:rowOff>97390</xdr:rowOff>
    </xdr:from>
    <xdr:to>
      <xdr:col>5</xdr:col>
      <xdr:colOff>382185</xdr:colOff>
      <xdr:row>23</xdr:row>
      <xdr:rowOff>132522</xdr:rowOff>
    </xdr:to>
    <xdr:sp>
      <xdr:nvSpPr>
        <xdr:cNvPr id="5" name="SMAR HAS RAISED 6.5 TRILLION RUPIAH"/>
        <xdr:cNvSpPr txBox="1"/>
      </xdr:nvSpPr>
      <xdr:spPr>
        <a:xfrm>
          <a:off x="1195362" y="5291690"/>
          <a:ext cx="3250824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SMAR HAS RAISED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6.5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6406" style="1" customWidth="1"/>
    <col min="2" max="2" width="14.7656" style="1" customWidth="1"/>
    <col min="3" max="3" width="9.17969" style="1" customWidth="1"/>
    <col min="4" max="6" width="9.24219" style="1" customWidth="1"/>
    <col min="7" max="16384" width="16.3516" style="1" customWidth="1"/>
  </cols>
  <sheetData>
    <row r="1" ht="47.0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AVERAGE('Sales'!H29:H32)</f>
        <v>0.124577600423225</v>
      </c>
      <c r="D4" s="8"/>
      <c r="E4" s="8"/>
      <c r="F4" s="9">
        <f>AVERAGE(C5:F5)</f>
        <v>0.0225</v>
      </c>
    </row>
    <row r="5" ht="20.05" customHeight="1">
      <c r="B5" t="s" s="10">
        <v>4</v>
      </c>
      <c r="C5" s="11">
        <v>0.04</v>
      </c>
      <c r="D5" s="12">
        <v>0.03</v>
      </c>
      <c r="E5" s="12">
        <v>0.03</v>
      </c>
      <c r="F5" s="12">
        <v>-0.01</v>
      </c>
    </row>
    <row r="6" ht="20.05" customHeight="1">
      <c r="B6" t="s" s="10">
        <v>5</v>
      </c>
      <c r="C6" s="13">
        <f>'Sales'!C32*(1+C5)</f>
        <v>18075.512</v>
      </c>
      <c r="D6" s="14">
        <f>C6*(1+D5)</f>
        <v>18617.77736</v>
      </c>
      <c r="E6" s="14">
        <f>D6*(1+E5)</f>
        <v>19176.3106808</v>
      </c>
      <c r="F6" s="14">
        <f>E6*(1+F5)</f>
        <v>18984.547573992</v>
      </c>
    </row>
    <row r="7" ht="20.05" customHeight="1">
      <c r="B7" t="s" s="10">
        <v>6</v>
      </c>
      <c r="C7" s="11">
        <f>AVERAGE('Sales'!J32)</f>
        <v>-0.930143710015372</v>
      </c>
      <c r="D7" s="12">
        <f>C7</f>
        <v>-0.930143710015372</v>
      </c>
      <c r="E7" s="12">
        <f>D7</f>
        <v>-0.930143710015372</v>
      </c>
      <c r="F7" s="12">
        <f>E7</f>
        <v>-0.930143710015372</v>
      </c>
    </row>
    <row r="8" ht="20.05" customHeight="1">
      <c r="B8" t="s" s="10">
        <v>7</v>
      </c>
      <c r="C8" s="15">
        <f>C6*C7</f>
        <v>-16812.8237921074</v>
      </c>
      <c r="D8" s="16">
        <f>D6*D7</f>
        <v>-17317.2085058706</v>
      </c>
      <c r="E8" s="16">
        <f>E6*E7</f>
        <v>-17836.7247610467</v>
      </c>
      <c r="F8" s="16">
        <f>F6*F7</f>
        <v>-17658.3575134362</v>
      </c>
    </row>
    <row r="9" ht="20.05" customHeight="1">
      <c r="B9" t="s" s="10">
        <v>8</v>
      </c>
      <c r="C9" s="15">
        <f>C6+C8</f>
        <v>1262.6882078926</v>
      </c>
      <c r="D9" s="16">
        <f>D6+D8</f>
        <v>1300.5688541294</v>
      </c>
      <c r="E9" s="16">
        <f>E6+E8</f>
        <v>1339.5859197533</v>
      </c>
      <c r="F9" s="16">
        <f>F6+F8</f>
        <v>1326.1900605558</v>
      </c>
    </row>
    <row r="10" ht="20.05" customHeight="1">
      <c r="B10" t="s" s="10">
        <v>9</v>
      </c>
      <c r="C10" s="15">
        <f>AVERAGE('Cashflow'!E32)</f>
        <v>-252.7</v>
      </c>
      <c r="D10" s="16">
        <f>C10</f>
        <v>-252.7</v>
      </c>
      <c r="E10" s="16">
        <f>D10</f>
        <v>-252.7</v>
      </c>
      <c r="F10" s="16">
        <f>E10</f>
        <v>-252.7</v>
      </c>
    </row>
    <row r="11" ht="20.05" customHeight="1">
      <c r="B11" t="s" s="10">
        <v>10</v>
      </c>
      <c r="C11" s="15">
        <f>'Cashflow'!F32</f>
        <v>-13.2</v>
      </c>
      <c r="D11" s="16">
        <f>C11</f>
        <v>-13.2</v>
      </c>
      <c r="E11" s="16">
        <f>D11</f>
        <v>-13.2</v>
      </c>
      <c r="F11" s="16">
        <f>E11</f>
        <v>-13.2</v>
      </c>
    </row>
    <row r="12" ht="20.05" customHeight="1">
      <c r="B12" t="s" s="10">
        <v>11</v>
      </c>
      <c r="C12" s="15">
        <f>C13+C16+C14</f>
        <v>-1009.9882078926</v>
      </c>
      <c r="D12" s="16">
        <f>D13+D16+D14</f>
        <v>-1047.8688541294</v>
      </c>
      <c r="E12" s="16">
        <f>E13+E16+E14</f>
        <v>-1086.8859197533</v>
      </c>
      <c r="F12" s="16">
        <f>F13+F16+F14</f>
        <v>-1073.4900605558</v>
      </c>
    </row>
    <row r="13" ht="20.05" customHeight="1">
      <c r="B13" t="s" s="10">
        <v>12</v>
      </c>
      <c r="C13" s="15">
        <f>-('Balance sheet'!G32)/20</f>
        <v>-1363.85</v>
      </c>
      <c r="D13" s="16">
        <f>-C28/20</f>
        <v>-1295.6575</v>
      </c>
      <c r="E13" s="16">
        <f>-D28/20</f>
        <v>-1230.874625</v>
      </c>
      <c r="F13" s="16">
        <f>-E28/20</f>
        <v>-1169.33089375</v>
      </c>
    </row>
    <row r="14" ht="20.05" customHeight="1">
      <c r="B14" t="s" s="10">
        <v>13</v>
      </c>
      <c r="C14" s="15">
        <f>-MIN(0,C17)</f>
        <v>553.1194336859199</v>
      </c>
      <c r="D14" s="16">
        <f>-MIN(C29,D17)</f>
        <v>454.622416696480</v>
      </c>
      <c r="E14" s="16">
        <f>-MIN(D29,E17)</f>
        <v>358.625889197360</v>
      </c>
      <c r="F14" s="16">
        <f>-MIN(E29,F17)</f>
        <v>307.798845305360</v>
      </c>
    </row>
    <row r="15" ht="20.05" customHeight="1">
      <c r="B15" t="s" s="10">
        <v>14</v>
      </c>
      <c r="C15" s="17">
        <v>0.2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-199.257641578520</v>
      </c>
      <c r="D16" s="16">
        <f>IF(D23&gt;0,-D23*$C$15,0)</f>
        <v>-206.833770825880</v>
      </c>
      <c r="E16" s="16">
        <f>IF(E23&gt;0,-E23*$C$15,0)</f>
        <v>-214.637183950660</v>
      </c>
      <c r="F16" s="16">
        <f>IF(F23&gt;0,-F23*$C$15,0)</f>
        <v>-211.958012111160</v>
      </c>
    </row>
    <row r="17" ht="20.05" customHeight="1">
      <c r="B17" t="s" s="10">
        <v>16</v>
      </c>
      <c r="C17" s="15">
        <f>C9+C10+C13+C16</f>
        <v>-553.1194336859199</v>
      </c>
      <c r="D17" s="16">
        <f>D9+D10+D13+D16</f>
        <v>-454.622416696480</v>
      </c>
      <c r="E17" s="16">
        <f>E9+E10+E13+E16</f>
        <v>-358.625889197360</v>
      </c>
      <c r="F17" s="16">
        <f>F9+F10+F13+F16</f>
        <v>-307.798845305360</v>
      </c>
    </row>
    <row r="18" ht="20.05" customHeight="1">
      <c r="B18" t="s" s="10">
        <v>17</v>
      </c>
      <c r="C18" s="15">
        <f>'Balance sheet'!C32</f>
        <v>2106</v>
      </c>
      <c r="D18" s="16">
        <f>C20</f>
        <v>2106</v>
      </c>
      <c r="E18" s="16">
        <f>D20</f>
        <v>2106</v>
      </c>
      <c r="F18" s="16">
        <f>E20</f>
        <v>2106</v>
      </c>
    </row>
    <row r="19" ht="20.05" customHeight="1">
      <c r="B19" t="s" s="10">
        <v>18</v>
      </c>
      <c r="C19" s="15">
        <f>C9+C10+C12</f>
        <v>0</v>
      </c>
      <c r="D19" s="16">
        <f>D9+D10+D12</f>
        <v>0</v>
      </c>
      <c r="E19" s="16">
        <f>E9+E10+E12</f>
        <v>0</v>
      </c>
      <c r="F19" s="16">
        <f>F9+F10+F12</f>
        <v>0</v>
      </c>
    </row>
    <row r="20" ht="20.05" customHeight="1">
      <c r="B20" t="s" s="10">
        <v>19</v>
      </c>
      <c r="C20" s="15">
        <f>C18+C19</f>
        <v>2106</v>
      </c>
      <c r="D20" s="16">
        <f>D18+D19</f>
        <v>2106</v>
      </c>
      <c r="E20" s="16">
        <f>E18+E19</f>
        <v>2106</v>
      </c>
      <c r="F20" s="16">
        <f>F18+F19</f>
        <v>2106</v>
      </c>
    </row>
    <row r="21" ht="20.05" customHeight="1">
      <c r="B21" t="s" s="18">
        <v>20</v>
      </c>
      <c r="C21" s="15"/>
      <c r="D21" s="16"/>
      <c r="E21" s="16"/>
      <c r="F21" s="16"/>
    </row>
    <row r="22" ht="20.05" customHeight="1">
      <c r="B22" t="s" s="10">
        <v>21</v>
      </c>
      <c r="C22" s="15">
        <f>-AVERAGE('Sales'!E32)</f>
        <v>-266.4</v>
      </c>
      <c r="D22" s="16">
        <f>C22</f>
        <v>-266.4</v>
      </c>
      <c r="E22" s="16">
        <f>D22</f>
        <v>-266.4</v>
      </c>
      <c r="F22" s="16">
        <f>E22</f>
        <v>-266.4</v>
      </c>
    </row>
    <row r="23" ht="20.05" customHeight="1">
      <c r="B23" t="s" s="10">
        <v>22</v>
      </c>
      <c r="C23" s="15">
        <f>C6+C8+C22</f>
        <v>996.2882078926</v>
      </c>
      <c r="D23" s="16">
        <f>D6+D8+D22</f>
        <v>1034.1688541294</v>
      </c>
      <c r="E23" s="16">
        <f>E6+E8+E22</f>
        <v>1073.1859197533</v>
      </c>
      <c r="F23" s="16">
        <f>F6+F8+F22</f>
        <v>1059.7900605558</v>
      </c>
    </row>
    <row r="24" ht="20.05" customHeight="1">
      <c r="B24" t="s" s="18">
        <v>23</v>
      </c>
      <c r="C24" s="15"/>
      <c r="D24" s="16"/>
      <c r="E24" s="16"/>
      <c r="F24" s="16"/>
    </row>
    <row r="25" ht="20.05" customHeight="1">
      <c r="B25" t="s" s="10">
        <v>24</v>
      </c>
      <c r="C25" s="15">
        <f>'Balance sheet'!E32+'Balance sheet'!F32-C10</f>
        <v>50065.7</v>
      </c>
      <c r="D25" s="16">
        <f>C25-D10</f>
        <v>50318.4</v>
      </c>
      <c r="E25" s="16">
        <f>D25-E10</f>
        <v>50571.1</v>
      </c>
      <c r="F25" s="16">
        <f>E25-F10</f>
        <v>50823.8</v>
      </c>
    </row>
    <row r="26" ht="20.05" customHeight="1">
      <c r="B26" t="s" s="10">
        <v>25</v>
      </c>
      <c r="C26" s="15">
        <f>'Balance sheet'!F32-C22</f>
        <v>9571.4</v>
      </c>
      <c r="D26" s="16">
        <f>C26-D22</f>
        <v>9837.799999999999</v>
      </c>
      <c r="E26" s="16">
        <f>D26-E22</f>
        <v>10104.2</v>
      </c>
      <c r="F26" s="16">
        <f>E26-F22</f>
        <v>10370.6</v>
      </c>
    </row>
    <row r="27" ht="20.05" customHeight="1">
      <c r="B27" t="s" s="10">
        <v>26</v>
      </c>
      <c r="C27" s="15">
        <f>C25-C26</f>
        <v>40494.3</v>
      </c>
      <c r="D27" s="16">
        <f>D25-D26</f>
        <v>40480.6</v>
      </c>
      <c r="E27" s="16">
        <f>E25-E26</f>
        <v>40466.9</v>
      </c>
      <c r="F27" s="16">
        <f>F25-F26</f>
        <v>40453.2</v>
      </c>
    </row>
    <row r="28" ht="20.05" customHeight="1">
      <c r="B28" t="s" s="10">
        <v>12</v>
      </c>
      <c r="C28" s="15">
        <f>'Balance sheet'!G32+C13</f>
        <v>25913.15</v>
      </c>
      <c r="D28" s="16">
        <f>C28+D13</f>
        <v>24617.4925</v>
      </c>
      <c r="E28" s="16">
        <f>D28+E13</f>
        <v>23386.617875</v>
      </c>
      <c r="F28" s="16">
        <f>E28+F13</f>
        <v>22217.28698125</v>
      </c>
    </row>
    <row r="29" ht="20.05" customHeight="1">
      <c r="B29" t="s" s="10">
        <v>13</v>
      </c>
      <c r="C29" s="15">
        <f>C14</f>
        <v>553.1194336859199</v>
      </c>
      <c r="D29" s="16">
        <f>C29+D14</f>
        <v>1007.7418503824</v>
      </c>
      <c r="E29" s="16">
        <f>D29+E14</f>
        <v>1366.367739579760</v>
      </c>
      <c r="F29" s="16">
        <f>E29+F14</f>
        <v>1674.166584885120</v>
      </c>
    </row>
    <row r="30" ht="20.05" customHeight="1">
      <c r="B30" t="s" s="10">
        <v>15</v>
      </c>
      <c r="C30" s="15">
        <f>'Balance sheet'!H32+C23+C16</f>
        <v>16134.0305663141</v>
      </c>
      <c r="D30" s="16">
        <f>C30+D23+D16</f>
        <v>16961.3656496176</v>
      </c>
      <c r="E30" s="16">
        <f>D30+E23+E16</f>
        <v>17819.9143854202</v>
      </c>
      <c r="F30" s="16">
        <f>E30+F23+F16</f>
        <v>18667.7464338648</v>
      </c>
    </row>
    <row r="31" ht="20.05" customHeight="1">
      <c r="B31" t="s" s="10">
        <v>27</v>
      </c>
      <c r="C31" s="15">
        <f>C28+C29+C30-C20-C27</f>
        <v>2e-11</v>
      </c>
      <c r="D31" s="16">
        <f>D28+D29+D30-D20-D27</f>
        <v>0</v>
      </c>
      <c r="E31" s="16">
        <f>E28+E29+E30-E20-E27</f>
        <v>-4e-11</v>
      </c>
      <c r="F31" s="16">
        <f>F28+F29+F30-F20-F27</f>
        <v>-8e-11</v>
      </c>
    </row>
    <row r="32" ht="20.05" customHeight="1">
      <c r="B32" t="s" s="10">
        <v>28</v>
      </c>
      <c r="C32" s="15">
        <f>C20-C28-C29</f>
        <v>-24360.2694336859</v>
      </c>
      <c r="D32" s="16">
        <f>D20-D28-D29</f>
        <v>-23519.2343503824</v>
      </c>
      <c r="E32" s="16">
        <f>E20-E28-E29</f>
        <v>-22646.9856145798</v>
      </c>
      <c r="F32" s="16">
        <f>F20-F28-F29</f>
        <v>-21785.4535661351</v>
      </c>
    </row>
    <row r="33" ht="20.05" customHeight="1">
      <c r="B33" t="s" s="19">
        <v>29</v>
      </c>
      <c r="C33" s="15"/>
      <c r="D33" s="16"/>
      <c r="E33" s="16"/>
      <c r="F33" s="16"/>
    </row>
    <row r="34" ht="20.05" customHeight="1">
      <c r="B34" t="s" s="10">
        <v>30</v>
      </c>
      <c r="C34" s="15">
        <f>'Cashflow'!M32-C12</f>
        <v>-5689.6417921074</v>
      </c>
      <c r="D34" s="16">
        <f>C34-D12</f>
        <v>-4641.772937978</v>
      </c>
      <c r="E34" s="16">
        <f>D34-E12</f>
        <v>-3554.8870182247</v>
      </c>
      <c r="F34" s="16">
        <f>E34-F12</f>
        <v>-2481.3969576689</v>
      </c>
    </row>
    <row r="35" ht="20.05" customHeight="1">
      <c r="B35" t="s" s="10">
        <v>31</v>
      </c>
      <c r="C35" s="15"/>
      <c r="D35" s="16"/>
      <c r="E35" s="16"/>
      <c r="F35" s="16">
        <v>13987565535232</v>
      </c>
    </row>
    <row r="36" ht="20.05" customHeight="1">
      <c r="B36" t="s" s="10">
        <v>31</v>
      </c>
      <c r="C36" s="15"/>
      <c r="D36" s="16"/>
      <c r="E36" s="16"/>
      <c r="F36" s="16">
        <f>F35/1000000000</f>
        <v>13987.565535232</v>
      </c>
    </row>
    <row r="37" ht="20.05" customHeight="1">
      <c r="B37" t="s" s="10">
        <v>32</v>
      </c>
      <c r="C37" s="15"/>
      <c r="D37" s="16"/>
      <c r="E37" s="16"/>
      <c r="F37" s="20">
        <f>F36/(F20+F27)</f>
        <v>0.32866138309066</v>
      </c>
    </row>
    <row r="38" ht="20.05" customHeight="1">
      <c r="B38" t="s" s="10">
        <v>33</v>
      </c>
      <c r="C38" s="15"/>
      <c r="D38" s="16"/>
      <c r="E38" s="16"/>
      <c r="F38" s="12">
        <f>-(C16+D16+E16+F16)/F36</f>
        <v>0.0595304884448149</v>
      </c>
    </row>
    <row r="39" ht="20.05" customHeight="1">
      <c r="B39" t="s" s="10">
        <v>3</v>
      </c>
      <c r="C39" s="15"/>
      <c r="D39" s="16"/>
      <c r="E39" s="16"/>
      <c r="F39" s="16">
        <f>SUM(C9:F11)</f>
        <v>4165.4330423311</v>
      </c>
    </row>
    <row r="40" ht="20.05" customHeight="1">
      <c r="B40" t="s" s="10">
        <v>34</v>
      </c>
      <c r="C40" s="15"/>
      <c r="D40" s="16"/>
      <c r="E40" s="16"/>
      <c r="F40" s="16">
        <f>'Balance sheet'!E32/F39</f>
        <v>9.724799219754241</v>
      </c>
    </row>
    <row r="41" ht="20.05" customHeight="1">
      <c r="B41" t="s" s="10">
        <v>29</v>
      </c>
      <c r="C41" s="15"/>
      <c r="D41" s="16"/>
      <c r="E41" s="16"/>
      <c r="F41" s="16">
        <f>F36/F39</f>
        <v>3.35800993392133</v>
      </c>
    </row>
    <row r="42" ht="20.05" customHeight="1">
      <c r="B42" t="s" s="10">
        <v>35</v>
      </c>
      <c r="C42" s="15"/>
      <c r="D42" s="16"/>
      <c r="E42" s="16"/>
      <c r="F42" s="16">
        <v>5</v>
      </c>
    </row>
    <row r="43" ht="20.05" customHeight="1">
      <c r="B43" t="s" s="10">
        <v>36</v>
      </c>
      <c r="C43" s="15"/>
      <c r="D43" s="16"/>
      <c r="E43" s="16"/>
      <c r="F43" s="16">
        <f>F39*F42</f>
        <v>20827.1652116555</v>
      </c>
    </row>
    <row r="44" ht="20.05" customHeight="1">
      <c r="B44" t="s" s="10">
        <v>37</v>
      </c>
      <c r="C44" s="15"/>
      <c r="D44" s="16"/>
      <c r="E44" s="16"/>
      <c r="F44" s="16">
        <f>F36/F46</f>
        <v>2.87219004830226</v>
      </c>
    </row>
    <row r="45" ht="20.05" customHeight="1">
      <c r="B45" t="s" s="10">
        <v>38</v>
      </c>
      <c r="C45" s="15"/>
      <c r="D45" s="16"/>
      <c r="E45" s="16"/>
      <c r="F45" s="16">
        <f>F43/F44</f>
        <v>7251.318631915170</v>
      </c>
    </row>
    <row r="46" ht="20.05" customHeight="1">
      <c r="B46" t="s" s="10">
        <v>39</v>
      </c>
      <c r="C46" s="15"/>
      <c r="D46" s="16"/>
      <c r="E46" s="16"/>
      <c r="F46" s="16">
        <v>4870</v>
      </c>
    </row>
    <row r="47" ht="20.05" customHeight="1">
      <c r="B47" t="s" s="10">
        <v>40</v>
      </c>
      <c r="C47" s="15"/>
      <c r="D47" s="16"/>
      <c r="E47" s="16"/>
      <c r="F47" s="12">
        <f>F45/F46-1</f>
        <v>0.488977131810097</v>
      </c>
    </row>
    <row r="48" ht="20.05" customHeight="1">
      <c r="B48" t="s" s="10">
        <v>41</v>
      </c>
      <c r="C48" s="15"/>
      <c r="D48" s="16"/>
      <c r="E48" s="16"/>
      <c r="F48" s="12">
        <f>'Sales'!C32/'Sales'!C28-1</f>
        <v>0.565849219791704</v>
      </c>
    </row>
    <row r="49" ht="20.05" customHeight="1">
      <c r="B49" t="s" s="10">
        <v>42</v>
      </c>
      <c r="C49" s="15"/>
      <c r="D49" s="16"/>
      <c r="E49" s="16"/>
      <c r="F49" s="12">
        <f>'Sales'!F35/'Sales'!E35-1</f>
        <v>-0.0449264615262497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0938" style="21" customWidth="1"/>
    <col min="2" max="2" width="9.30469" style="21" customWidth="1"/>
    <col min="3" max="11" width="10.7656" style="21" customWidth="1"/>
    <col min="12" max="16384" width="16.3516" style="21" customWidth="1"/>
  </cols>
  <sheetData>
    <row r="1" ht="26.15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25</v>
      </c>
      <c r="F3" t="s" s="5">
        <v>44</v>
      </c>
      <c r="G3" t="s" s="5">
        <v>45</v>
      </c>
      <c r="H3" t="s" s="5">
        <v>4</v>
      </c>
      <c r="I3" t="s" s="5">
        <v>6</v>
      </c>
      <c r="J3" t="s" s="5">
        <v>6</v>
      </c>
      <c r="K3" t="s" s="5">
        <v>35</v>
      </c>
    </row>
    <row r="4" ht="20.25" customHeight="1">
      <c r="B4" s="22">
        <v>2015</v>
      </c>
      <c r="C4" s="23">
        <v>7546.2</v>
      </c>
      <c r="D4" s="24"/>
      <c r="E4" s="24">
        <v>137</v>
      </c>
      <c r="F4" s="24"/>
      <c r="G4" s="24">
        <v>-78</v>
      </c>
      <c r="H4" s="9"/>
      <c r="I4" s="9">
        <f>(E4+G4+F4-C4)/C4</f>
        <v>-0.9921814953221491</v>
      </c>
      <c r="J4" s="9"/>
      <c r="K4" s="9"/>
    </row>
    <row r="5" ht="20.05" customHeight="1">
      <c r="B5" s="25"/>
      <c r="C5" s="15">
        <v>10721.1</v>
      </c>
      <c r="D5" s="16"/>
      <c r="E5" s="16">
        <v>142</v>
      </c>
      <c r="F5" s="16"/>
      <c r="G5" s="16">
        <v>12.8</v>
      </c>
      <c r="H5" s="12">
        <f>C5/C4-1</f>
        <v>0.420728313588296</v>
      </c>
      <c r="I5" s="12">
        <f>(E5+G5+F5-C5)/C5</f>
        <v>-0.985561183087556</v>
      </c>
      <c r="J5" s="12"/>
      <c r="K5" s="12"/>
    </row>
    <row r="6" ht="20.05" customHeight="1">
      <c r="B6" s="25"/>
      <c r="C6" s="15">
        <v>9216.1</v>
      </c>
      <c r="D6" s="16"/>
      <c r="E6" s="16">
        <v>158</v>
      </c>
      <c r="F6" s="16"/>
      <c r="G6" s="16">
        <v>-688.8</v>
      </c>
      <c r="H6" s="12">
        <f>C6/C5-1</f>
        <v>-0.140377386648758</v>
      </c>
      <c r="I6" s="12">
        <f>(E6+G6+F6-C6)/C6</f>
        <v>-1.05759486116687</v>
      </c>
      <c r="J6" s="12"/>
      <c r="K6" s="12"/>
    </row>
    <row r="7" ht="20.05" customHeight="1">
      <c r="B7" s="25"/>
      <c r="C7" s="15">
        <v>8746.709999999999</v>
      </c>
      <c r="D7" s="16"/>
      <c r="E7" s="16">
        <v>168</v>
      </c>
      <c r="F7" s="16"/>
      <c r="G7" s="16">
        <v>368.5</v>
      </c>
      <c r="H7" s="12">
        <f>C7/C6-1</f>
        <v>-0.0509315220103949</v>
      </c>
      <c r="I7" s="12">
        <f>(E7+G7+F7-C7)/C7</f>
        <v>-0.938662651442657</v>
      </c>
      <c r="J7" s="12"/>
      <c r="K7" s="12"/>
    </row>
    <row r="8" ht="20.05" customHeight="1">
      <c r="B8" s="26">
        <v>2016</v>
      </c>
      <c r="C8" s="15">
        <v>7946.8</v>
      </c>
      <c r="D8" s="16"/>
      <c r="E8" s="16">
        <v>171</v>
      </c>
      <c r="F8" s="16"/>
      <c r="G8" s="16">
        <v>462.2</v>
      </c>
      <c r="H8" s="12">
        <f>C8/C7-1</f>
        <v>-0.0914526719189272</v>
      </c>
      <c r="I8" s="12">
        <f>(E8+G8+F8-C8)/C8</f>
        <v>-0.920320128856898</v>
      </c>
      <c r="J8" s="12"/>
      <c r="K8" s="12"/>
    </row>
    <row r="9" ht="20.05" customHeight="1">
      <c r="B9" s="25"/>
      <c r="C9" s="15">
        <v>6235.1</v>
      </c>
      <c r="D9" s="16"/>
      <c r="E9" s="16">
        <v>174</v>
      </c>
      <c r="F9" s="16"/>
      <c r="G9" s="16">
        <v>1750.9</v>
      </c>
      <c r="H9" s="12">
        <f>C9/C8-1</f>
        <v>-0.215394875924901</v>
      </c>
      <c r="I9" s="12">
        <f>(E9+G9+F9-C9)/C9</f>
        <v>-0.691280011547529</v>
      </c>
      <c r="J9" s="12"/>
      <c r="K9" s="12"/>
    </row>
    <row r="10" ht="20.05" customHeight="1">
      <c r="B10" s="25"/>
      <c r="C10" s="15">
        <v>6851.7</v>
      </c>
      <c r="D10" s="16"/>
      <c r="E10" s="16">
        <v>178</v>
      </c>
      <c r="F10" s="16"/>
      <c r="G10" s="16">
        <v>219.8</v>
      </c>
      <c r="H10" s="12">
        <f>C10/C9-1</f>
        <v>0.0988917579509551</v>
      </c>
      <c r="I10" s="12">
        <f>(E10+G10+F10-C10)/C10</f>
        <v>-0.941941415998949</v>
      </c>
      <c r="J10" s="12"/>
      <c r="K10" s="12"/>
    </row>
    <row r="11" ht="20.05" customHeight="1">
      <c r="B11" s="25"/>
      <c r="C11" s="15">
        <v>8718.52</v>
      </c>
      <c r="D11" s="16"/>
      <c r="E11" s="16">
        <v>186</v>
      </c>
      <c r="F11" s="16"/>
      <c r="G11" s="16">
        <v>166.6</v>
      </c>
      <c r="H11" s="12">
        <f>C11/C10-1</f>
        <v>0.272460849132332</v>
      </c>
      <c r="I11" s="12">
        <f>(E11+G11+F11-C11)/C11</f>
        <v>-0.95955735606502</v>
      </c>
      <c r="J11" s="12"/>
      <c r="K11" s="12"/>
    </row>
    <row r="12" ht="20.05" customHeight="1">
      <c r="B12" s="26">
        <v>2017</v>
      </c>
      <c r="C12" s="15">
        <v>9210.799999999999</v>
      </c>
      <c r="D12" s="16"/>
      <c r="E12" s="16">
        <v>193</v>
      </c>
      <c r="F12" s="16"/>
      <c r="G12" s="16">
        <v>352.9</v>
      </c>
      <c r="H12" s="12">
        <f>C12/C11-1</f>
        <v>0.0564637117308901</v>
      </c>
      <c r="I12" s="12">
        <f>(E12+G12+F12-C12)/C12</f>
        <v>-0.940732618230773</v>
      </c>
      <c r="J12" s="12"/>
      <c r="K12" s="12"/>
    </row>
    <row r="13" ht="20.05" customHeight="1">
      <c r="B13" s="25"/>
      <c r="C13" s="15">
        <v>8188.2</v>
      </c>
      <c r="D13" s="16"/>
      <c r="E13" s="16">
        <v>191</v>
      </c>
      <c r="F13" s="16"/>
      <c r="G13" s="16">
        <v>169.7</v>
      </c>
      <c r="H13" s="12">
        <f>C13/C12-1</f>
        <v>-0.111021843922352</v>
      </c>
      <c r="I13" s="12">
        <f>(E13+G13+F13-C13)/C13</f>
        <v>-0.95594880437703</v>
      </c>
      <c r="J13" s="12"/>
      <c r="K13" s="12"/>
    </row>
    <row r="14" ht="20.05" customHeight="1">
      <c r="B14" s="25"/>
      <c r="C14" s="15">
        <v>8380.9</v>
      </c>
      <c r="D14" s="16"/>
      <c r="E14" s="16">
        <v>198</v>
      </c>
      <c r="F14" s="16"/>
      <c r="G14" s="16">
        <v>111.6</v>
      </c>
      <c r="H14" s="12">
        <f>C14/C13-1</f>
        <v>0.0235338658068928</v>
      </c>
      <c r="I14" s="12">
        <f>(E14+G14+F14-C14)/C14</f>
        <v>-0.9630588600269659</v>
      </c>
      <c r="J14" s="12"/>
      <c r="K14" s="12"/>
    </row>
    <row r="15" ht="20.05" customHeight="1">
      <c r="B15" s="25"/>
      <c r="C15" s="15">
        <v>9538.1</v>
      </c>
      <c r="D15" s="16"/>
      <c r="E15" s="16">
        <v>211</v>
      </c>
      <c r="F15" s="16"/>
      <c r="G15" s="16">
        <v>549.1</v>
      </c>
      <c r="H15" s="12">
        <f>C15/C14-1</f>
        <v>0.138075862974144</v>
      </c>
      <c r="I15" s="12">
        <f>(E15+G15+F15-C15)/C15</f>
        <v>-0.920309076231115</v>
      </c>
      <c r="J15" s="12"/>
      <c r="K15" s="12"/>
    </row>
    <row r="16" ht="20.05" customHeight="1">
      <c r="B16" s="26">
        <v>2018</v>
      </c>
      <c r="C16" s="15">
        <v>8487</v>
      </c>
      <c r="D16" s="16"/>
      <c r="E16" s="16">
        <v>217</v>
      </c>
      <c r="F16" s="16"/>
      <c r="G16" s="16">
        <v>82</v>
      </c>
      <c r="H16" s="12">
        <f>C16/C15-1</f>
        <v>-0.110200144682903</v>
      </c>
      <c r="I16" s="12">
        <f>(E16+G16+F16-C16)/C16</f>
        <v>-0.964769647696477</v>
      </c>
      <c r="J16" s="12">
        <f>AVERAGE(I13:I16)</f>
        <v>-0.951021597082897</v>
      </c>
      <c r="K16" s="12"/>
    </row>
    <row r="17" ht="20.05" customHeight="1">
      <c r="B17" s="25"/>
      <c r="C17" s="15">
        <v>9198.5</v>
      </c>
      <c r="D17" s="16"/>
      <c r="E17" s="16">
        <v>221</v>
      </c>
      <c r="F17" s="16"/>
      <c r="G17" s="16">
        <v>-269</v>
      </c>
      <c r="H17" s="12">
        <f>C17/C16-1</f>
        <v>0.0838340992105573</v>
      </c>
      <c r="I17" s="12">
        <f>(E17+G17+F17-C17)/C17</f>
        <v>-1.00521824210469</v>
      </c>
      <c r="J17" s="12">
        <f>AVERAGE(I14:I17)</f>
        <v>-0.9633389565148121</v>
      </c>
      <c r="K17" s="12"/>
    </row>
    <row r="18" ht="20.05" customHeight="1">
      <c r="B18" s="25"/>
      <c r="C18" s="15">
        <v>10021</v>
      </c>
      <c r="D18" s="16"/>
      <c r="E18" s="16">
        <v>223</v>
      </c>
      <c r="F18" s="16"/>
      <c r="G18" s="16">
        <v>199.9</v>
      </c>
      <c r="H18" s="12">
        <f>C18/C17-1</f>
        <v>0.0894167527314236</v>
      </c>
      <c r="I18" s="12">
        <f>(E18+G18+F18-C18)/C18</f>
        <v>-0.957798622891927</v>
      </c>
      <c r="J18" s="12">
        <f>AVERAGE(I15:I18)</f>
        <v>-0.962023897231052</v>
      </c>
      <c r="K18" s="12"/>
    </row>
    <row r="19" ht="20.05" customHeight="1">
      <c r="B19" s="25"/>
      <c r="C19" s="15">
        <v>9685.1</v>
      </c>
      <c r="D19" s="16"/>
      <c r="E19" s="16">
        <v>234</v>
      </c>
      <c r="F19" s="16"/>
      <c r="G19" s="16">
        <v>584.8</v>
      </c>
      <c r="H19" s="12">
        <f>C19/C18-1</f>
        <v>-0.0335196088214749</v>
      </c>
      <c r="I19" s="12">
        <f>(E19+G19+F19-C19)/C19</f>
        <v>-0.915457765020495</v>
      </c>
      <c r="J19" s="12">
        <f>AVERAGE(I16:I19)</f>
        <v>-0.960811069428397</v>
      </c>
      <c r="K19" s="12"/>
    </row>
    <row r="20" ht="20.05" customHeight="1">
      <c r="B20" s="26">
        <v>2019</v>
      </c>
      <c r="C20" s="15">
        <v>9422.83</v>
      </c>
      <c r="D20" s="16"/>
      <c r="E20" s="16">
        <v>223.75</v>
      </c>
      <c r="F20" s="16"/>
      <c r="G20" s="16">
        <v>479.52</v>
      </c>
      <c r="H20" s="12">
        <f>C20/C19-1</f>
        <v>-0.0270797410455235</v>
      </c>
      <c r="I20" s="12">
        <f>(E20+G20+F20-C20)/C20</f>
        <v>-0.925365309572602</v>
      </c>
      <c r="J20" s="12">
        <f>AVERAGE(I17:I20)</f>
        <v>-0.9509599848974289</v>
      </c>
      <c r="K20" s="12"/>
    </row>
    <row r="21" ht="20.05" customHeight="1">
      <c r="B21" s="25"/>
      <c r="C21" s="15">
        <v>8383.469999999999</v>
      </c>
      <c r="D21" s="16"/>
      <c r="E21" s="16">
        <v>223.75</v>
      </c>
      <c r="F21" s="16"/>
      <c r="G21" s="16">
        <v>-192.42</v>
      </c>
      <c r="H21" s="12">
        <f>C21/C20-1</f>
        <v>-0.110302318942398</v>
      </c>
      <c r="I21" s="12">
        <f>(E21+G21+F21-C21)/C21</f>
        <v>-0.996262883984794</v>
      </c>
      <c r="J21" s="12">
        <f>AVERAGE(I18:I21)</f>
        <v>-0.948721145367455</v>
      </c>
      <c r="K21" s="12"/>
    </row>
    <row r="22" ht="20.05" customHeight="1">
      <c r="B22" s="25"/>
      <c r="C22" s="15">
        <v>8576.6</v>
      </c>
      <c r="D22" s="16"/>
      <c r="E22" s="16">
        <v>223.75</v>
      </c>
      <c r="F22" s="16"/>
      <c r="G22" s="16">
        <v>244.7</v>
      </c>
      <c r="H22" s="12">
        <f>C22/C21-1</f>
        <v>0.0230370001920446</v>
      </c>
      <c r="I22" s="12">
        <f>(E22+G22+F22-C22)/C22</f>
        <v>-0.9453804537928781</v>
      </c>
      <c r="J22" s="12">
        <f>AVERAGE(I19:I22)</f>
        <v>-0.945616603092692</v>
      </c>
      <c r="K22" s="12"/>
    </row>
    <row r="23" ht="20.05" customHeight="1">
      <c r="B23" s="25"/>
      <c r="C23" s="15">
        <v>9815.1</v>
      </c>
      <c r="D23" s="16"/>
      <c r="E23" s="16">
        <v>223.75</v>
      </c>
      <c r="F23" s="16"/>
      <c r="G23" s="16">
        <v>366.8</v>
      </c>
      <c r="H23" s="12">
        <f>C23/C22-1</f>
        <v>0.144404542592636</v>
      </c>
      <c r="I23" s="12">
        <f>(E23+G23+F23-C23)/C23</f>
        <v>-0.939832502980102</v>
      </c>
      <c r="J23" s="12">
        <f>AVERAGE(I20:I23)</f>
        <v>-0.951710287582594</v>
      </c>
      <c r="K23" s="12"/>
    </row>
    <row r="24" ht="20.05" customHeight="1">
      <c r="B24" s="26">
        <v>2020</v>
      </c>
      <c r="C24" s="15">
        <v>9618.809999999999</v>
      </c>
      <c r="D24" s="16"/>
      <c r="E24" s="27">
        <v>261.75</v>
      </c>
      <c r="F24" s="27">
        <v>1959</v>
      </c>
      <c r="G24" s="16">
        <v>-1410.56</v>
      </c>
      <c r="H24" s="12">
        <f>C24/C23-1</f>
        <v>-0.0199987773940153</v>
      </c>
      <c r="I24" s="12">
        <f>(E24+G24+F24-C24)/C24</f>
        <v>-0.915770246007562</v>
      </c>
      <c r="J24" s="12">
        <f>AVERAGE(I21:I24)</f>
        <v>-0.949311521691334</v>
      </c>
      <c r="K24" s="12"/>
    </row>
    <row r="25" ht="20.05" customHeight="1">
      <c r="B25" s="25"/>
      <c r="C25" s="15">
        <v>9453.889999999999</v>
      </c>
      <c r="D25" s="28"/>
      <c r="E25" s="27">
        <v>261.75</v>
      </c>
      <c r="F25" s="27">
        <f>279-F24</f>
        <v>-1680</v>
      </c>
      <c r="G25" s="16">
        <f>11.2-G24</f>
        <v>1421.76</v>
      </c>
      <c r="H25" s="12">
        <f>C25/C24-1</f>
        <v>-0.0171455720614088</v>
      </c>
      <c r="I25" s="12">
        <f>(E25+G25+F25-C25)/C25</f>
        <v>-0.999628724260595</v>
      </c>
      <c r="J25" s="12">
        <f>AVERAGE(I22:I25)</f>
        <v>-0.950152981760284</v>
      </c>
      <c r="K25" s="12"/>
    </row>
    <row r="26" ht="20.05" customHeight="1">
      <c r="B26" s="25"/>
      <c r="C26" s="15">
        <v>9130.299999999999</v>
      </c>
      <c r="D26" s="16">
        <v>9691.558000000001</v>
      </c>
      <c r="E26" s="27">
        <v>261.75</v>
      </c>
      <c r="F26" s="27">
        <f>760-SUM(F24:F25)</f>
        <v>481</v>
      </c>
      <c r="G26" s="16">
        <f>215-SUM(G24:G25)</f>
        <v>203.8</v>
      </c>
      <c r="H26" s="12">
        <f>C26/C25-1</f>
        <v>-0.0342282383230607</v>
      </c>
      <c r="I26" s="12">
        <f>(E26+G26+F26-C26)/C26</f>
        <v>-0.896328707709495</v>
      </c>
      <c r="J26" s="12">
        <f>AVERAGE(I23:I26)</f>
        <v>-0.937890045239439</v>
      </c>
      <c r="K26" s="12"/>
    </row>
    <row r="27" ht="20.05" customHeight="1">
      <c r="B27" s="25"/>
      <c r="C27" s="15">
        <v>12231</v>
      </c>
      <c r="D27" s="16">
        <v>10043.33</v>
      </c>
      <c r="E27" s="27">
        <v>261.75</v>
      </c>
      <c r="F27" s="27">
        <v>-1003</v>
      </c>
      <c r="G27" s="16">
        <v>1325</v>
      </c>
      <c r="H27" s="12">
        <f>C27/C26-1</f>
        <v>0.339605489414368</v>
      </c>
      <c r="I27" s="12">
        <f>(E27+G27+F27-C27)/C27</f>
        <v>-0.95227291308969</v>
      </c>
      <c r="J27" s="12">
        <f>AVERAGE(I24:I27)</f>
        <v>-0.941000147766836</v>
      </c>
      <c r="K27" s="12"/>
    </row>
    <row r="28" ht="20.05" customHeight="1">
      <c r="B28" s="26">
        <v>2021</v>
      </c>
      <c r="C28" s="15">
        <v>11099.6</v>
      </c>
      <c r="D28" s="16">
        <v>12108.69</v>
      </c>
      <c r="E28" s="28">
        <v>265</v>
      </c>
      <c r="F28" s="27">
        <v>223.9</v>
      </c>
      <c r="G28" s="16">
        <v>250.4</v>
      </c>
      <c r="H28" s="12">
        <f>C28/C27-1</f>
        <v>-0.09250265718256891</v>
      </c>
      <c r="I28" s="12">
        <f>(E28+G28+F28-C28)/C28</f>
        <v>-0.933393996180043</v>
      </c>
      <c r="J28" s="12">
        <f>AVERAGE(I25:I28)</f>
        <v>-0.945406085309956</v>
      </c>
      <c r="K28" s="12"/>
    </row>
    <row r="29" ht="20.05" customHeight="1">
      <c r="B29" s="25"/>
      <c r="C29" s="15">
        <v>12685.4</v>
      </c>
      <c r="D29" s="16">
        <v>11654.58</v>
      </c>
      <c r="E29" s="28">
        <v>265</v>
      </c>
      <c r="F29" s="27">
        <v>-78.90000000000001</v>
      </c>
      <c r="G29" s="16">
        <v>753.6</v>
      </c>
      <c r="H29" s="12">
        <f>C29/C28-1</f>
        <v>0.142870013333814</v>
      </c>
      <c r="I29" s="12">
        <f>(E29+G29+F29-C29)/C29</f>
        <v>-0.92592271430148</v>
      </c>
      <c r="J29" s="12">
        <f>AVERAGE(I26:I29)</f>
        <v>-0.926979582820177</v>
      </c>
      <c r="K29" s="12"/>
    </row>
    <row r="30" ht="20.05" customHeight="1">
      <c r="B30" s="25"/>
      <c r="C30" s="15">
        <f>40380.1-SUM(C28:C29)</f>
        <v>16595.1</v>
      </c>
      <c r="D30" s="14">
        <v>13065.962</v>
      </c>
      <c r="E30" s="16">
        <f>796.8-SUM(E28:E29)</f>
        <v>266.8</v>
      </c>
      <c r="F30" s="27">
        <f>73.4-SUM(F28:F29)</f>
        <v>-71.59999999999999</v>
      </c>
      <c r="G30" s="16">
        <f>1796.3-SUM(G28:G29)</f>
        <v>792.3</v>
      </c>
      <c r="H30" s="12">
        <f>C30/C29-1</f>
        <v>0.308204707774292</v>
      </c>
      <c r="I30" s="12">
        <f>(E30+G30+F30-C30)/C30</f>
        <v>-0.940494483311339</v>
      </c>
      <c r="J30" s="12">
        <f>AVERAGE(I27:I30)</f>
        <v>-0.938021026720638</v>
      </c>
      <c r="K30" s="12"/>
    </row>
    <row r="31" ht="20.05" customHeight="1">
      <c r="B31" s="25"/>
      <c r="C31" s="15">
        <f>57004.2-SUM(C28:C30)</f>
        <v>16624.1</v>
      </c>
      <c r="D31" s="14">
        <v>17424.855</v>
      </c>
      <c r="E31" s="27">
        <f>1069.9-SUM(E28:E30)</f>
        <v>273.1</v>
      </c>
      <c r="F31" s="27">
        <f>46.3-SUM(F28:F30)</f>
        <v>-27.1</v>
      </c>
      <c r="G31" s="16">
        <f>2829.4-SUM(G28:G30)</f>
        <v>1033.1</v>
      </c>
      <c r="H31" s="12">
        <f>C31/C30-1</f>
        <v>0.00174750378123663</v>
      </c>
      <c r="I31" s="12">
        <f>(E31+G31+F31-C31)/C31</f>
        <v>-0.923057488826463</v>
      </c>
      <c r="J31" s="12">
        <f>AVERAGE(I28:I31)</f>
        <v>-0.9307171706548309</v>
      </c>
      <c r="K31" s="12"/>
    </row>
    <row r="32" ht="20.05" customHeight="1">
      <c r="B32" s="26">
        <v>2022</v>
      </c>
      <c r="C32" s="15">
        <v>17380.3</v>
      </c>
      <c r="D32" s="14">
        <v>17455.305</v>
      </c>
      <c r="E32" s="16">
        <v>266.4</v>
      </c>
      <c r="F32" s="27">
        <v>19.3</v>
      </c>
      <c r="G32" s="16">
        <v>911.8</v>
      </c>
      <c r="H32" s="12">
        <f>C32/C31-1</f>
        <v>0.0454881768035563</v>
      </c>
      <c r="I32" s="12">
        <f>(E32+G32+F32-C32)/C32</f>
        <v>-0.931100153622204</v>
      </c>
      <c r="J32" s="12">
        <f>AVERAGE(I29:I32)</f>
        <v>-0.930143710015372</v>
      </c>
      <c r="K32" s="12">
        <v>-0.9307171706548309</v>
      </c>
    </row>
    <row r="33" ht="20.05" customHeight="1">
      <c r="B33" s="25"/>
      <c r="C33" s="15"/>
      <c r="D33" s="14">
        <f>'Model'!C6</f>
        <v>18075.512</v>
      </c>
      <c r="E33" s="28"/>
      <c r="F33" s="27"/>
      <c r="G33" s="16"/>
      <c r="H33" s="29"/>
      <c r="I33" s="30"/>
      <c r="J33" s="12"/>
      <c r="K33" s="29">
        <f>'Model'!C7</f>
        <v>-0.930143710015372</v>
      </c>
    </row>
    <row r="34" ht="20.05" customHeight="1">
      <c r="B34" s="25"/>
      <c r="C34" s="15"/>
      <c r="D34" s="16">
        <f>'Model'!D6</f>
        <v>18617.77736</v>
      </c>
      <c r="E34" s="28"/>
      <c r="F34" s="27"/>
      <c r="G34" s="16"/>
      <c r="H34" s="29"/>
      <c r="I34" s="29"/>
      <c r="J34" s="12"/>
      <c r="K34" s="12"/>
    </row>
    <row r="35" ht="20.05" customHeight="1">
      <c r="B35" s="25"/>
      <c r="C35" s="15"/>
      <c r="D35" s="16">
        <f>'Model'!E6</f>
        <v>19176.3106808</v>
      </c>
      <c r="E35" s="16">
        <f>SUM(C26:C32)</f>
        <v>95745.8</v>
      </c>
      <c r="F35" s="16">
        <f>SUM(D26:D32)</f>
        <v>91444.28</v>
      </c>
      <c r="G35" s="16"/>
      <c r="H35" s="29"/>
      <c r="I35" s="29"/>
      <c r="J35" s="12"/>
      <c r="K35" s="12"/>
    </row>
    <row r="36" ht="20.05" customHeight="1">
      <c r="B36" s="26">
        <v>2023</v>
      </c>
      <c r="C36" s="15"/>
      <c r="D36" s="16">
        <f>'Model'!F6</f>
        <v>18984.547573992</v>
      </c>
      <c r="E36" s="28"/>
      <c r="F36" s="27"/>
      <c r="G36" s="16"/>
      <c r="H36" s="29"/>
      <c r="I36" s="29"/>
      <c r="J36" s="12"/>
      <c r="K36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5469" style="31" customWidth="1"/>
    <col min="2" max="2" width="8.05469" style="31" customWidth="1"/>
    <col min="3" max="3" width="11.2812" style="31" customWidth="1"/>
    <col min="4" max="4" width="12.9609" style="31" customWidth="1"/>
    <col min="5" max="5" width="10.3359" style="31" customWidth="1"/>
    <col min="6" max="15" width="10.5703" style="31" customWidth="1"/>
    <col min="16" max="16384" width="16.3516" style="31" customWidth="1"/>
  </cols>
  <sheetData>
    <row r="1" ht="16.65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47</v>
      </c>
      <c r="D3" t="s" s="5">
        <v>48</v>
      </c>
      <c r="E3" t="s" s="5">
        <v>9</v>
      </c>
      <c r="F3" t="s" s="5">
        <v>49</v>
      </c>
      <c r="G3" t="s" s="5">
        <v>12</v>
      </c>
      <c r="H3" t="s" s="5">
        <v>50</v>
      </c>
      <c r="I3" t="s" s="5">
        <v>51</v>
      </c>
      <c r="J3" t="s" s="5">
        <v>52</v>
      </c>
      <c r="K3" t="s" s="5">
        <v>3</v>
      </c>
      <c r="L3" t="s" s="5">
        <v>35</v>
      </c>
      <c r="M3" t="s" s="5">
        <v>30</v>
      </c>
      <c r="N3" t="s" s="5">
        <v>35</v>
      </c>
      <c r="O3" s="32"/>
    </row>
    <row r="4" ht="20.25" customHeight="1">
      <c r="B4" s="22">
        <v>2015</v>
      </c>
      <c r="C4" s="23">
        <v>8253</v>
      </c>
      <c r="D4" s="24">
        <v>806.8</v>
      </c>
      <c r="E4" s="24">
        <v>-479.5</v>
      </c>
      <c r="F4" s="24"/>
      <c r="G4" s="24"/>
      <c r="H4" s="24"/>
      <c r="I4" s="24">
        <v>1039.3</v>
      </c>
      <c r="J4" s="24">
        <f>D4+E4</f>
        <v>327.3</v>
      </c>
      <c r="K4" s="24"/>
      <c r="L4" s="24"/>
      <c r="M4" s="24">
        <f>-I4</f>
        <v>-1039.3</v>
      </c>
      <c r="N4" s="24"/>
      <c r="O4" s="24">
        <v>1</v>
      </c>
    </row>
    <row r="5" ht="20.05" customHeight="1">
      <c r="B5" s="25"/>
      <c r="C5" s="15">
        <v>9891</v>
      </c>
      <c r="D5" s="16">
        <v>-13.8</v>
      </c>
      <c r="E5" s="16">
        <v>-998.5</v>
      </c>
      <c r="F5" s="16"/>
      <c r="G5" s="16"/>
      <c r="H5" s="16"/>
      <c r="I5" s="16">
        <v>-1465.3</v>
      </c>
      <c r="J5" s="16">
        <f>D5+E5</f>
        <v>-1012.3</v>
      </c>
      <c r="K5" s="16"/>
      <c r="L5" s="16"/>
      <c r="M5" s="16">
        <f>-I5+M4</f>
        <v>426</v>
      </c>
      <c r="N5" s="16"/>
      <c r="O5" s="16">
        <f>1+O4</f>
        <v>2</v>
      </c>
    </row>
    <row r="6" ht="20.05" customHeight="1">
      <c r="B6" s="25"/>
      <c r="C6" s="15">
        <v>9523</v>
      </c>
      <c r="D6" s="16">
        <v>301.7</v>
      </c>
      <c r="E6" s="16">
        <v>-288.7</v>
      </c>
      <c r="F6" s="16"/>
      <c r="G6" s="16"/>
      <c r="H6" s="16"/>
      <c r="I6" s="16">
        <v>771.7</v>
      </c>
      <c r="J6" s="16">
        <f>D6+E6</f>
        <v>13</v>
      </c>
      <c r="K6" s="16"/>
      <c r="L6" s="16"/>
      <c r="M6" s="16">
        <f>-I6+M5</f>
        <v>-345.7</v>
      </c>
      <c r="N6" s="16"/>
      <c r="O6" s="16">
        <f>1+O5</f>
        <v>3</v>
      </c>
    </row>
    <row r="7" ht="20.05" customHeight="1">
      <c r="B7" s="25"/>
      <c r="C7" s="15">
        <v>8240</v>
      </c>
      <c r="D7" s="16">
        <v>-605.7</v>
      </c>
      <c r="E7" s="16">
        <v>-465.46</v>
      </c>
      <c r="F7" s="16"/>
      <c r="G7" s="16"/>
      <c r="H7" s="16"/>
      <c r="I7" s="16">
        <v>1205.53</v>
      </c>
      <c r="J7" s="16">
        <f>D7+E7</f>
        <v>-1071.16</v>
      </c>
      <c r="K7" s="16"/>
      <c r="L7" s="16"/>
      <c r="M7" s="16">
        <f>-I7+M6</f>
        <v>-1551.23</v>
      </c>
      <c r="N7" s="16"/>
      <c r="O7" s="16">
        <f>1+O6</f>
        <v>4</v>
      </c>
    </row>
    <row r="8" ht="20.05" customHeight="1">
      <c r="B8" s="26">
        <v>2016</v>
      </c>
      <c r="C8" s="15">
        <v>7707</v>
      </c>
      <c r="D8" s="16">
        <v>-705.74</v>
      </c>
      <c r="E8" s="16">
        <v>-337.4</v>
      </c>
      <c r="F8" s="16"/>
      <c r="G8" s="16"/>
      <c r="H8" s="16"/>
      <c r="I8" s="16">
        <v>-115.3</v>
      </c>
      <c r="J8" s="16">
        <f>D8+E8</f>
        <v>-1043.14</v>
      </c>
      <c r="K8" s="16">
        <f>AVERAGE(J5:J8)</f>
        <v>-778.4</v>
      </c>
      <c r="L8" s="16"/>
      <c r="M8" s="16">
        <f>-I8+M7</f>
        <v>-1435.93</v>
      </c>
      <c r="N8" s="16"/>
      <c r="O8" s="16">
        <f>1+O7</f>
        <v>5</v>
      </c>
    </row>
    <row r="9" ht="20.05" customHeight="1">
      <c r="B9" s="25"/>
      <c r="C9" s="15">
        <v>6027</v>
      </c>
      <c r="D9" s="16">
        <v>1764.14</v>
      </c>
      <c r="E9" s="16">
        <v>-405.5</v>
      </c>
      <c r="F9" s="16"/>
      <c r="G9" s="16"/>
      <c r="H9" s="16"/>
      <c r="I9" s="16">
        <v>1052.2</v>
      </c>
      <c r="J9" s="16">
        <f>D9+E9</f>
        <v>1358.64</v>
      </c>
      <c r="K9" s="16">
        <f>AVERAGE(J6:J9)</f>
        <v>-185.665</v>
      </c>
      <c r="L9" s="16"/>
      <c r="M9" s="16">
        <f>-I9+M8</f>
        <v>-2488.13</v>
      </c>
      <c r="N9" s="16"/>
      <c r="O9" s="16">
        <f>1+O8</f>
        <v>6</v>
      </c>
    </row>
    <row r="10" ht="20.05" customHeight="1">
      <c r="B10" s="25"/>
      <c r="C10" s="15">
        <v>6632</v>
      </c>
      <c r="D10" s="16">
        <v>-1334.4</v>
      </c>
      <c r="E10" s="16">
        <v>-192.8</v>
      </c>
      <c r="F10" s="16"/>
      <c r="G10" s="16"/>
      <c r="H10" s="16"/>
      <c r="I10" s="16">
        <v>-1045.9</v>
      </c>
      <c r="J10" s="16">
        <f>D10+E10</f>
        <v>-1527.2</v>
      </c>
      <c r="K10" s="16">
        <f>AVERAGE(J7:J10)</f>
        <v>-570.715</v>
      </c>
      <c r="L10" s="16"/>
      <c r="M10" s="16">
        <f>-I10+M9</f>
        <v>-1442.23</v>
      </c>
      <c r="N10" s="16"/>
      <c r="O10" s="16">
        <f>1+O9</f>
        <v>7</v>
      </c>
    </row>
    <row r="11" ht="20.05" customHeight="1">
      <c r="B11" s="25"/>
      <c r="C11" s="15">
        <v>8107</v>
      </c>
      <c r="D11" s="16">
        <v>-1036.7</v>
      </c>
      <c r="E11" s="16">
        <v>-237.2</v>
      </c>
      <c r="F11" s="16"/>
      <c r="G11" s="16"/>
      <c r="H11" s="16"/>
      <c r="I11" s="16">
        <v>1399.2</v>
      </c>
      <c r="J11" s="16">
        <f>D11+E11</f>
        <v>-1273.9</v>
      </c>
      <c r="K11" s="16">
        <f>AVERAGE(J8:J11)</f>
        <v>-621.4</v>
      </c>
      <c r="L11" s="16"/>
      <c r="M11" s="16">
        <f>-I11+M10</f>
        <v>-2841.43</v>
      </c>
      <c r="N11" s="16"/>
      <c r="O11" s="16">
        <f>1+O10</f>
        <v>8</v>
      </c>
    </row>
    <row r="12" ht="20.05" customHeight="1">
      <c r="B12" s="26">
        <v>2017</v>
      </c>
      <c r="C12" s="15">
        <v>9149</v>
      </c>
      <c r="D12" s="16">
        <v>2214.1</v>
      </c>
      <c r="E12" s="16">
        <v>-225.6</v>
      </c>
      <c r="F12" s="16"/>
      <c r="G12" s="16">
        <v>-178.725</v>
      </c>
      <c r="H12" s="16">
        <v>-17.95</v>
      </c>
      <c r="I12" s="16">
        <v>-1728.5</v>
      </c>
      <c r="J12" s="16">
        <f>D12+E12</f>
        <v>1988.5</v>
      </c>
      <c r="K12" s="16">
        <f>AVERAGE(J9:J12)</f>
        <v>136.51</v>
      </c>
      <c r="L12" s="16"/>
      <c r="M12" s="16">
        <f>-I12+M11</f>
        <v>-1112.93</v>
      </c>
      <c r="N12" s="16"/>
      <c r="O12" s="16">
        <f>1+O11</f>
        <v>9</v>
      </c>
    </row>
    <row r="13" ht="20.05" customHeight="1">
      <c r="B13" s="25"/>
      <c r="C13" s="15">
        <v>8379</v>
      </c>
      <c r="D13" s="16">
        <v>-129</v>
      </c>
      <c r="E13" s="16">
        <v>-170.9</v>
      </c>
      <c r="F13" s="16"/>
      <c r="G13" s="16">
        <v>-178.725</v>
      </c>
      <c r="H13" s="16">
        <v>-17.95</v>
      </c>
      <c r="I13" s="16">
        <v>592.6</v>
      </c>
      <c r="J13" s="16">
        <f>D13+E13</f>
        <v>-299.9</v>
      </c>
      <c r="K13" s="16">
        <f>AVERAGE(J10:J13)</f>
        <v>-278.125</v>
      </c>
      <c r="L13" s="16"/>
      <c r="M13" s="16">
        <f>-I13+M12</f>
        <v>-1705.53</v>
      </c>
      <c r="N13" s="16"/>
      <c r="O13" s="16">
        <f>1+O12</f>
        <v>10</v>
      </c>
    </row>
    <row r="14" ht="20.05" customHeight="1">
      <c r="B14" s="25"/>
      <c r="C14" s="15">
        <v>7771</v>
      </c>
      <c r="D14" s="16">
        <v>-444.5</v>
      </c>
      <c r="E14" s="16">
        <v>-376.6</v>
      </c>
      <c r="F14" s="16"/>
      <c r="G14" s="16">
        <v>-178.725</v>
      </c>
      <c r="H14" s="16">
        <v>-17.95</v>
      </c>
      <c r="I14" s="16">
        <v>321.3</v>
      </c>
      <c r="J14" s="16">
        <f>D14+E14</f>
        <v>-821.1</v>
      </c>
      <c r="K14" s="16">
        <f>AVERAGE(J11:J14)</f>
        <v>-101.6</v>
      </c>
      <c r="L14" s="16"/>
      <c r="M14" s="16">
        <f>-I14+M13</f>
        <v>-2026.83</v>
      </c>
      <c r="N14" s="16"/>
      <c r="O14" s="16">
        <f>1+O13</f>
        <v>11</v>
      </c>
    </row>
    <row r="15" ht="20.05" customHeight="1">
      <c r="B15" s="25"/>
      <c r="C15" s="15">
        <v>9410</v>
      </c>
      <c r="D15" s="16">
        <v>705.4</v>
      </c>
      <c r="E15" s="16">
        <v>-521.9</v>
      </c>
      <c r="F15" s="16"/>
      <c r="G15" s="16">
        <v>-178.725</v>
      </c>
      <c r="H15" s="16">
        <v>-17.95</v>
      </c>
      <c r="I15" s="16">
        <v>28</v>
      </c>
      <c r="J15" s="16">
        <f>D15+E15</f>
        <v>183.5</v>
      </c>
      <c r="K15" s="16">
        <f>AVERAGE(J12:J15)</f>
        <v>262.75</v>
      </c>
      <c r="L15" s="16"/>
      <c r="M15" s="16">
        <f>-I15+M14</f>
        <v>-2054.83</v>
      </c>
      <c r="N15" s="16"/>
      <c r="O15" s="16">
        <f>1+O14</f>
        <v>12</v>
      </c>
    </row>
    <row r="16" ht="20.05" customHeight="1">
      <c r="B16" s="26">
        <v>2018</v>
      </c>
      <c r="C16" s="15">
        <v>8470</v>
      </c>
      <c r="D16" s="16">
        <v>-453.9</v>
      </c>
      <c r="E16" s="16">
        <v>-321.6</v>
      </c>
      <c r="F16" s="16"/>
      <c r="G16" s="16">
        <v>137.275</v>
      </c>
      <c r="H16" s="16">
        <v>-21.525</v>
      </c>
      <c r="I16" s="16">
        <v>360.8</v>
      </c>
      <c r="J16" s="16">
        <f>D16+E16</f>
        <v>-775.5</v>
      </c>
      <c r="K16" s="16">
        <f>AVERAGE(J13:J16)</f>
        <v>-428.25</v>
      </c>
      <c r="L16" s="16"/>
      <c r="M16" s="16">
        <f>-I16+M15</f>
        <v>-2415.63</v>
      </c>
      <c r="N16" s="16"/>
      <c r="O16" s="16">
        <f>1+O15</f>
        <v>13</v>
      </c>
    </row>
    <row r="17" ht="20.05" customHeight="1">
      <c r="B17" s="25"/>
      <c r="C17" s="15">
        <v>9706</v>
      </c>
      <c r="D17" s="16">
        <v>-295.1</v>
      </c>
      <c r="E17" s="16">
        <v>-175.2</v>
      </c>
      <c r="F17" s="16"/>
      <c r="G17" s="16">
        <v>137.275</v>
      </c>
      <c r="H17" s="16">
        <v>-21.525</v>
      </c>
      <c r="I17" s="16">
        <v>1352.8</v>
      </c>
      <c r="J17" s="16">
        <f>D17+E17</f>
        <v>-470.3</v>
      </c>
      <c r="K17" s="16">
        <f>AVERAGE(J14:J17)</f>
        <v>-470.85</v>
      </c>
      <c r="L17" s="16"/>
      <c r="M17" s="16">
        <f>-I17+M16</f>
        <v>-3768.43</v>
      </c>
      <c r="N17" s="16"/>
      <c r="O17" s="16">
        <f>1+O16</f>
        <v>14</v>
      </c>
    </row>
    <row r="18" ht="20.05" customHeight="1">
      <c r="B18" s="25"/>
      <c r="C18" s="15">
        <v>10084</v>
      </c>
      <c r="D18" s="16">
        <v>1626.3</v>
      </c>
      <c r="E18" s="16">
        <v>-350.7</v>
      </c>
      <c r="F18" s="16"/>
      <c r="G18" s="16">
        <v>137.275</v>
      </c>
      <c r="H18" s="16">
        <v>-21.525</v>
      </c>
      <c r="I18" s="16">
        <v>-1353.3</v>
      </c>
      <c r="J18" s="16">
        <f>D18+E18</f>
        <v>1275.6</v>
      </c>
      <c r="K18" s="16">
        <f>AVERAGE(J15:J18)</f>
        <v>53.325</v>
      </c>
      <c r="L18" s="16"/>
      <c r="M18" s="16">
        <f>-I18+M17</f>
        <v>-2415.13</v>
      </c>
      <c r="N18" s="16"/>
      <c r="O18" s="16">
        <f>1+O17</f>
        <v>15</v>
      </c>
    </row>
    <row r="19" ht="20.05" customHeight="1">
      <c r="B19" s="25"/>
      <c r="C19" s="15">
        <v>9124</v>
      </c>
      <c r="D19" s="16">
        <v>-104.5</v>
      </c>
      <c r="E19" s="16">
        <v>-372</v>
      </c>
      <c r="F19" s="16"/>
      <c r="G19" s="16">
        <v>137.275</v>
      </c>
      <c r="H19" s="16">
        <v>-21.525</v>
      </c>
      <c r="I19" s="16">
        <v>102.7</v>
      </c>
      <c r="J19" s="16">
        <f>D19+E19</f>
        <v>-476.5</v>
      </c>
      <c r="K19" s="16">
        <f>AVERAGE(J16:J19)</f>
        <v>-111.675</v>
      </c>
      <c r="L19" s="16"/>
      <c r="M19" s="16">
        <f>-I19+M18</f>
        <v>-2517.83</v>
      </c>
      <c r="N19" s="16"/>
      <c r="O19" s="16">
        <f>1+O18</f>
        <v>16</v>
      </c>
    </row>
    <row r="20" ht="20.05" customHeight="1">
      <c r="B20" s="26">
        <v>2019</v>
      </c>
      <c r="C20" s="15">
        <v>10223</v>
      </c>
      <c r="D20" s="16">
        <v>3138.91</v>
      </c>
      <c r="E20" s="16">
        <v>-336.03</v>
      </c>
      <c r="F20" s="16"/>
      <c r="G20" s="16">
        <v>-23.45</v>
      </c>
      <c r="H20" s="16">
        <v>-538.5</v>
      </c>
      <c r="I20" s="16">
        <v>-1556.13</v>
      </c>
      <c r="J20" s="16">
        <f>D20+E20</f>
        <v>2802.88</v>
      </c>
      <c r="K20" s="16">
        <f>AVERAGE(J17:J20)</f>
        <v>782.92</v>
      </c>
      <c r="L20" s="16"/>
      <c r="M20" s="16">
        <f>-I20+M19</f>
        <v>-961.7</v>
      </c>
      <c r="N20" s="16"/>
      <c r="O20" s="16">
        <f>1+O19</f>
        <v>17</v>
      </c>
    </row>
    <row r="21" ht="20.05" customHeight="1">
      <c r="B21" s="25"/>
      <c r="C21" s="15">
        <v>8221</v>
      </c>
      <c r="D21" s="16">
        <v>93.39</v>
      </c>
      <c r="E21" s="16">
        <v>-346.47</v>
      </c>
      <c r="F21" s="16"/>
      <c r="G21" s="16">
        <v>-23.45</v>
      </c>
      <c r="H21" s="16">
        <v>-538.5</v>
      </c>
      <c r="I21" s="16">
        <v>-392.37</v>
      </c>
      <c r="J21" s="16">
        <f>D21+E21</f>
        <v>-253.08</v>
      </c>
      <c r="K21" s="16">
        <f>AVERAGE(J18:J21)</f>
        <v>837.225</v>
      </c>
      <c r="L21" s="16"/>
      <c r="M21" s="16">
        <f>-I21+M20</f>
        <v>-569.33</v>
      </c>
      <c r="N21" s="16"/>
      <c r="O21" s="16">
        <f>1+O20</f>
        <v>18</v>
      </c>
    </row>
    <row r="22" ht="20.05" customHeight="1">
      <c r="B22" s="25"/>
      <c r="C22" s="15">
        <v>9134</v>
      </c>
      <c r="D22" s="16">
        <v>945.9</v>
      </c>
      <c r="E22" s="16">
        <v>-414.1</v>
      </c>
      <c r="F22" s="16"/>
      <c r="G22" s="16">
        <v>-23.45</v>
      </c>
      <c r="H22" s="16">
        <v>-538.5</v>
      </c>
      <c r="I22" s="16">
        <v>-1014.8</v>
      </c>
      <c r="J22" s="16">
        <f>D22+E22</f>
        <v>531.8</v>
      </c>
      <c r="K22" s="16">
        <f>AVERAGE(J19:J22)</f>
        <v>651.275</v>
      </c>
      <c r="L22" s="16"/>
      <c r="M22" s="16">
        <f>-I22+M21</f>
        <v>445.47</v>
      </c>
      <c r="N22" s="16"/>
      <c r="O22" s="16">
        <f>1+O21</f>
        <v>19</v>
      </c>
    </row>
    <row r="23" ht="20.05" customHeight="1">
      <c r="B23" s="25"/>
      <c r="C23" s="15">
        <v>9180</v>
      </c>
      <c r="D23" s="16">
        <v>-72.40000000000001</v>
      </c>
      <c r="E23" s="16">
        <v>-423.8</v>
      </c>
      <c r="F23" s="16"/>
      <c r="G23" s="16">
        <v>-23.45</v>
      </c>
      <c r="H23" s="16">
        <v>-538.5</v>
      </c>
      <c r="I23" s="16">
        <v>715.5</v>
      </c>
      <c r="J23" s="16">
        <f>D23+E23</f>
        <v>-496.2</v>
      </c>
      <c r="K23" s="16">
        <f>AVERAGE(J20:J23)</f>
        <v>646.35</v>
      </c>
      <c r="L23" s="16"/>
      <c r="M23" s="16">
        <f>-I23+M22</f>
        <v>-270.03</v>
      </c>
      <c r="N23" s="16"/>
      <c r="O23" s="16">
        <f>1+O22</f>
        <v>20</v>
      </c>
    </row>
    <row r="24" ht="20.05" customHeight="1">
      <c r="B24" s="26">
        <v>2020</v>
      </c>
      <c r="C24" s="15">
        <v>9924</v>
      </c>
      <c r="D24" s="16">
        <v>-224.19</v>
      </c>
      <c r="E24" s="16">
        <v>-217.39</v>
      </c>
      <c r="F24" s="16">
        <v>-30.6</v>
      </c>
      <c r="G24" s="16">
        <v>1094.9</v>
      </c>
      <c r="H24" s="16"/>
      <c r="I24" s="16">
        <v>1118.15</v>
      </c>
      <c r="J24" s="16">
        <f>D24+E24</f>
        <v>-441.58</v>
      </c>
      <c r="K24" s="16">
        <f>AVERAGE(J21:J24)</f>
        <v>-164.765</v>
      </c>
      <c r="L24" s="16"/>
      <c r="M24" s="16">
        <f>-I24+M23</f>
        <v>-1388.18</v>
      </c>
      <c r="N24" s="16"/>
      <c r="O24" s="16">
        <f>1+O23</f>
        <v>21</v>
      </c>
    </row>
    <row r="25" ht="20.05" customHeight="1">
      <c r="B25" s="25"/>
      <c r="C25" s="15">
        <v>9558</v>
      </c>
      <c r="D25" s="16">
        <v>183.19</v>
      </c>
      <c r="E25" s="16">
        <v>-314.61</v>
      </c>
      <c r="F25" s="16">
        <v>-30.6</v>
      </c>
      <c r="G25" s="16">
        <v>1094.9</v>
      </c>
      <c r="H25" s="16"/>
      <c r="I25" s="16">
        <v>1870.45</v>
      </c>
      <c r="J25" s="16">
        <f>D25+E25</f>
        <v>-131.42</v>
      </c>
      <c r="K25" s="16">
        <f>AVERAGE(J22:J25)</f>
        <v>-134.35</v>
      </c>
      <c r="L25" s="16"/>
      <c r="M25" s="16">
        <f>-I25+M24</f>
        <v>-3258.63</v>
      </c>
      <c r="N25" s="16"/>
      <c r="O25" s="16">
        <f>1+O24</f>
        <v>22</v>
      </c>
    </row>
    <row r="26" ht="20.05" customHeight="1">
      <c r="B26" s="25"/>
      <c r="C26" s="15">
        <v>9094</v>
      </c>
      <c r="D26" s="16">
        <v>878</v>
      </c>
      <c r="E26" s="16">
        <v>-273</v>
      </c>
      <c r="F26" s="16">
        <v>-30.6</v>
      </c>
      <c r="G26" s="16">
        <v>1094.9</v>
      </c>
      <c r="H26" s="16"/>
      <c r="I26" s="16">
        <v>-297.6</v>
      </c>
      <c r="J26" s="16">
        <f>D26+E26</f>
        <v>605</v>
      </c>
      <c r="K26" s="16">
        <f>AVERAGE(J23:J26)</f>
        <v>-116.05</v>
      </c>
      <c r="L26" s="16"/>
      <c r="M26" s="16">
        <f>-I26+M25</f>
        <v>-2961.03</v>
      </c>
      <c r="N26" s="16"/>
      <c r="O26" s="16">
        <f>1+O25</f>
        <v>23</v>
      </c>
    </row>
    <row r="27" ht="20.05" customHeight="1">
      <c r="B27" s="25"/>
      <c r="C27" s="15">
        <v>10252</v>
      </c>
      <c r="D27" s="16">
        <v>-214</v>
      </c>
      <c r="E27" s="27">
        <v>-483</v>
      </c>
      <c r="F27" s="16">
        <v>-30.6</v>
      </c>
      <c r="G27" s="16">
        <v>1094.9</v>
      </c>
      <c r="H27" s="16"/>
      <c r="I27" s="16">
        <v>1658</v>
      </c>
      <c r="J27" s="16">
        <f>D27+E27</f>
        <v>-697</v>
      </c>
      <c r="K27" s="16">
        <f>AVERAGE(J24:J27)</f>
        <v>-166.25</v>
      </c>
      <c r="L27" s="16"/>
      <c r="M27" s="16">
        <f>-I27+M26</f>
        <v>-4619.03</v>
      </c>
      <c r="N27" s="16"/>
      <c r="O27" s="16">
        <f>1+O26</f>
        <v>24</v>
      </c>
    </row>
    <row r="28" ht="20.05" customHeight="1">
      <c r="B28" s="26">
        <v>2021</v>
      </c>
      <c r="C28" s="15">
        <v>11720.5</v>
      </c>
      <c r="D28" s="16">
        <v>229.5</v>
      </c>
      <c r="E28" s="16">
        <v>-759.2</v>
      </c>
      <c r="F28" s="16">
        <v>-20</v>
      </c>
      <c r="G28" s="16">
        <v>627.3</v>
      </c>
      <c r="H28" s="16">
        <v>0</v>
      </c>
      <c r="I28" s="16">
        <f>607.3</f>
        <v>607.3</v>
      </c>
      <c r="J28" s="16">
        <f>D28+E28</f>
        <v>-529.7</v>
      </c>
      <c r="K28" s="16">
        <f>AVERAGE(J25:J28)</f>
        <v>-188.28</v>
      </c>
      <c r="L28" s="16"/>
      <c r="M28" s="16">
        <f>-I28+M27</f>
        <v>-5226.33</v>
      </c>
      <c r="N28" s="16"/>
      <c r="O28" s="16">
        <f>1+O27</f>
        <v>25</v>
      </c>
    </row>
    <row r="29" ht="20.05" customHeight="1">
      <c r="B29" s="25"/>
      <c r="C29" s="15">
        <v>11947.5</v>
      </c>
      <c r="D29" s="16">
        <v>-1563.5</v>
      </c>
      <c r="E29" s="16">
        <v>1639.2</v>
      </c>
      <c r="F29" s="16">
        <v>-20.5</v>
      </c>
      <c r="G29" s="16">
        <v>939.2</v>
      </c>
      <c r="H29" s="16">
        <v>-461.5</v>
      </c>
      <c r="I29" s="16">
        <v>457.7</v>
      </c>
      <c r="J29" s="16">
        <f>D29+E29</f>
        <v>75.7</v>
      </c>
      <c r="K29" s="16">
        <f>AVERAGE(J26:J29)</f>
        <v>-136.5</v>
      </c>
      <c r="L29" s="16"/>
      <c r="M29" s="16">
        <f>-I29+M28</f>
        <v>-5684.03</v>
      </c>
      <c r="N29" s="16"/>
      <c r="O29" s="16">
        <f>1+O28</f>
        <v>26</v>
      </c>
    </row>
    <row r="30" ht="20.05" customHeight="1">
      <c r="B30" s="25"/>
      <c r="C30" s="15">
        <f>38721.8-SUM(C28:C29)</f>
        <v>15053.8</v>
      </c>
      <c r="D30" s="16">
        <f>-518.1-SUM(D28:D29)</f>
        <v>815.9</v>
      </c>
      <c r="E30" s="16">
        <f>616.2-SUM(E28:E29)</f>
        <v>-263.8</v>
      </c>
      <c r="F30" s="16">
        <v>-20.3</v>
      </c>
      <c r="G30" s="16">
        <v>-1658.2</v>
      </c>
      <c r="H30" s="16">
        <v>2.2</v>
      </c>
      <c r="I30" s="16">
        <f>-611.8-SUM(I28:I29)</f>
        <v>-1676.8</v>
      </c>
      <c r="J30" s="16">
        <f>D30+E30</f>
        <v>552.1</v>
      </c>
      <c r="K30" s="16">
        <f>AVERAGE(J27:J30)</f>
        <v>-149.725</v>
      </c>
      <c r="L30" s="16"/>
      <c r="M30" s="16">
        <f>-I30+M29</f>
        <v>-4007.23</v>
      </c>
      <c r="N30" s="16"/>
      <c r="O30" s="16">
        <f>1+O29</f>
        <v>27</v>
      </c>
    </row>
    <row r="31" ht="20.05" customHeight="1">
      <c r="B31" s="25"/>
      <c r="C31" s="15">
        <f>55457-SUM(C28:C30)</f>
        <v>16735.2</v>
      </c>
      <c r="D31" s="16">
        <f>650.5-SUM(D28:D30)</f>
        <v>1168.6</v>
      </c>
      <c r="E31" s="16">
        <f>-1360.9-SUM(E28:E30)</f>
        <v>-1977.1</v>
      </c>
      <c r="F31" s="16">
        <f>-85.5-SUM(F28:F30)</f>
        <v>-24.7</v>
      </c>
      <c r="G31" s="16">
        <f>I31-H31-F31</f>
        <v>1753.4</v>
      </c>
      <c r="H31" s="16">
        <f>-990.6-SUM(H28:H30)</f>
        <v>-531.3</v>
      </c>
      <c r="I31" s="16">
        <f>585.6-SUM(I28:I30)</f>
        <v>1197.4</v>
      </c>
      <c r="J31" s="16">
        <f>D31+E31</f>
        <v>-808.5</v>
      </c>
      <c r="K31" s="16">
        <f>AVERAGE(J28:J31)</f>
        <v>-177.6</v>
      </c>
      <c r="L31" s="16"/>
      <c r="M31" s="16">
        <f>-I31+M30</f>
        <v>-5204.63</v>
      </c>
      <c r="N31" s="16"/>
      <c r="O31" s="16">
        <f>1+O30</f>
        <v>28</v>
      </c>
    </row>
    <row r="32" ht="20.05" customHeight="1">
      <c r="B32" s="26">
        <v>2022</v>
      </c>
      <c r="C32" s="15">
        <v>16370.4</v>
      </c>
      <c r="D32" s="16">
        <v>-1860.8</v>
      </c>
      <c r="E32" s="16">
        <v>-252.7</v>
      </c>
      <c r="F32" s="16">
        <v>-13.2</v>
      </c>
      <c r="G32" s="16">
        <f>I32-H32-F32</f>
        <v>1508.2</v>
      </c>
      <c r="H32" s="16">
        <v>0</v>
      </c>
      <c r="I32" s="16">
        <v>1495</v>
      </c>
      <c r="J32" s="16">
        <f>D32+E32</f>
        <v>-2113.5</v>
      </c>
      <c r="K32" s="16">
        <f>AVERAGE(J29:J32)</f>
        <v>-573.55</v>
      </c>
      <c r="L32" s="16">
        <v>918.0823475693001</v>
      </c>
      <c r="M32" s="16">
        <f>-I32+M31</f>
        <v>-6699.63</v>
      </c>
      <c r="N32" s="16">
        <v>-1545.1383962416</v>
      </c>
      <c r="O32" s="16">
        <f>1+O31</f>
        <v>29</v>
      </c>
    </row>
    <row r="33" ht="20.05" customHeight="1">
      <c r="B33" s="25"/>
      <c r="C33" s="15"/>
      <c r="D33" s="16"/>
      <c r="E33" s="16"/>
      <c r="F33" s="16"/>
      <c r="G33" s="16"/>
      <c r="H33" s="16"/>
      <c r="I33" s="16"/>
      <c r="J33" s="16"/>
      <c r="K33" s="30"/>
      <c r="L33" s="16">
        <f>SUM('Model'!F9:F11)</f>
        <v>1060.2900605558</v>
      </c>
      <c r="M33" s="30"/>
      <c r="N33" s="16">
        <f>'Model'!F34</f>
        <v>-2481.3969576689</v>
      </c>
      <c r="O33" s="16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984" style="33" customWidth="1"/>
    <col min="2" max="2" width="8.17969" style="33" customWidth="1"/>
    <col min="3" max="11" width="10.4062" style="33" customWidth="1"/>
    <col min="12" max="16384" width="16.3516" style="33" customWidth="1"/>
  </cols>
  <sheetData>
    <row r="1" ht="46.4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24</v>
      </c>
      <c r="F3" t="s" s="5">
        <v>25</v>
      </c>
      <c r="G3" t="s" s="5">
        <v>12</v>
      </c>
      <c r="H3" t="s" s="5">
        <v>50</v>
      </c>
      <c r="I3" t="s" s="5">
        <v>27</v>
      </c>
      <c r="J3" t="s" s="5">
        <v>28</v>
      </c>
      <c r="K3" t="s" s="5">
        <v>35</v>
      </c>
    </row>
    <row r="4" ht="20.25" customHeight="1">
      <c r="B4" s="22">
        <v>2015</v>
      </c>
      <c r="C4" s="23">
        <v>929</v>
      </c>
      <c r="D4" s="24">
        <v>20842</v>
      </c>
      <c r="E4" s="24">
        <f>D4-C4</f>
        <v>19913</v>
      </c>
      <c r="F4" s="24">
        <f>811+3010</f>
        <v>3821</v>
      </c>
      <c r="G4" s="24">
        <v>12961</v>
      </c>
      <c r="H4" s="24">
        <v>7881</v>
      </c>
      <c r="I4" s="24">
        <f>G4+H4-C4-E4</f>
        <v>0</v>
      </c>
      <c r="J4" s="24">
        <f>C4-G4</f>
        <v>-12032</v>
      </c>
      <c r="K4" s="24"/>
    </row>
    <row r="5" ht="20.05" customHeight="1">
      <c r="B5" s="25"/>
      <c r="C5" s="15">
        <v>522</v>
      </c>
      <c r="D5" s="16">
        <v>23893</v>
      </c>
      <c r="E5" s="16">
        <f>D5-C5</f>
        <v>23371</v>
      </c>
      <c r="F5" s="16">
        <f>825+3141</f>
        <v>3966</v>
      </c>
      <c r="G5" s="16">
        <v>15986</v>
      </c>
      <c r="H5" s="16">
        <v>7907</v>
      </c>
      <c r="I5" s="16">
        <f>G5+H5-C5-E5</f>
        <v>0</v>
      </c>
      <c r="J5" s="16">
        <f>C5-G5</f>
        <v>-15464</v>
      </c>
      <c r="K5" s="16"/>
    </row>
    <row r="6" ht="20.05" customHeight="1">
      <c r="B6" s="25"/>
      <c r="C6" s="15">
        <v>1455</v>
      </c>
      <c r="D6" s="16">
        <v>24346</v>
      </c>
      <c r="E6" s="16">
        <f>D6-C6</f>
        <v>22891</v>
      </c>
      <c r="F6" s="16">
        <f>846+3359</f>
        <v>4205</v>
      </c>
      <c r="G6" s="16">
        <v>17076</v>
      </c>
      <c r="H6" s="16">
        <v>7270</v>
      </c>
      <c r="I6" s="16">
        <f>G6+H6-C6-E6</f>
        <v>0</v>
      </c>
      <c r="J6" s="16">
        <f>C6-G6</f>
        <v>-15621</v>
      </c>
      <c r="K6" s="16"/>
    </row>
    <row r="7" ht="20.05" customHeight="1">
      <c r="B7" s="25"/>
      <c r="C7" s="15">
        <v>1549</v>
      </c>
      <c r="D7" s="16">
        <v>23957</v>
      </c>
      <c r="E7" s="16">
        <f>D7-C7</f>
        <v>22408</v>
      </c>
      <c r="F7" s="16">
        <f t="shared" si="13" ref="F7:F11">960+3953</f>
        <v>4913</v>
      </c>
      <c r="G7" s="16">
        <v>16334</v>
      </c>
      <c r="H7" s="16">
        <v>7623</v>
      </c>
      <c r="I7" s="16">
        <f>G7+H7-C7-E7</f>
        <v>0</v>
      </c>
      <c r="J7" s="16">
        <f>C7-G7</f>
        <v>-14785</v>
      </c>
      <c r="K7" s="16"/>
    </row>
    <row r="8" ht="20.05" customHeight="1">
      <c r="B8" s="26">
        <v>2016</v>
      </c>
      <c r="C8" s="15">
        <v>387</v>
      </c>
      <c r="D8" s="16">
        <v>23021</v>
      </c>
      <c r="E8" s="16">
        <f>D8-C8</f>
        <v>22634</v>
      </c>
      <c r="F8" s="16">
        <f>893+3506</f>
        <v>4399</v>
      </c>
      <c r="G8" s="16">
        <v>14950</v>
      </c>
      <c r="H8" s="16">
        <v>8071</v>
      </c>
      <c r="I8" s="16">
        <f>G8+H8-C8-E8</f>
        <v>0</v>
      </c>
      <c r="J8" s="16">
        <f>C8-G8</f>
        <v>-14563</v>
      </c>
      <c r="K8" s="16"/>
    </row>
    <row r="9" ht="20.05" customHeight="1">
      <c r="B9" s="25"/>
      <c r="C9" s="15">
        <v>665</v>
      </c>
      <c r="D9" s="16">
        <v>26104</v>
      </c>
      <c r="E9" s="16">
        <f>D9-C9</f>
        <v>25439</v>
      </c>
      <c r="F9" s="16">
        <f>915+3639</f>
        <v>4554</v>
      </c>
      <c r="G9" s="16">
        <v>16351</v>
      </c>
      <c r="H9" s="16">
        <v>9753</v>
      </c>
      <c r="I9" s="16">
        <f>G9+H9-C9-E9</f>
        <v>0</v>
      </c>
      <c r="J9" s="16">
        <f>C9-G9</f>
        <v>-15686</v>
      </c>
      <c r="K9" s="16"/>
    </row>
    <row r="10" ht="20.05" customHeight="1">
      <c r="B10" s="25"/>
      <c r="C10" s="15">
        <v>224</v>
      </c>
      <c r="D10" s="16">
        <v>25892</v>
      </c>
      <c r="E10" s="16">
        <f>D10-C10</f>
        <v>25668</v>
      </c>
      <c r="F10" s="16">
        <f>938+3768</f>
        <v>4706</v>
      </c>
      <c r="G10" s="16">
        <v>15940</v>
      </c>
      <c r="H10" s="16">
        <v>9952</v>
      </c>
      <c r="I10" s="16">
        <f>G10+H10-C10-E10</f>
        <v>0</v>
      </c>
      <c r="J10" s="16">
        <f>C10-G10</f>
        <v>-15716</v>
      </c>
      <c r="K10" s="16"/>
    </row>
    <row r="11" ht="20.05" customHeight="1">
      <c r="B11" s="25"/>
      <c r="C11" s="15">
        <v>350</v>
      </c>
      <c r="D11" s="16">
        <v>26368</v>
      </c>
      <c r="E11" s="16">
        <f>D11-C11</f>
        <v>26018</v>
      </c>
      <c r="F11" s="16">
        <f t="shared" si="13"/>
        <v>4913</v>
      </c>
      <c r="G11" s="16">
        <v>15942</v>
      </c>
      <c r="H11" s="16">
        <v>10426</v>
      </c>
      <c r="I11" s="16">
        <f>G11+H11-C11-E11</f>
        <v>0</v>
      </c>
      <c r="J11" s="16">
        <f>C11-G11</f>
        <v>-15592</v>
      </c>
      <c r="K11" s="16"/>
    </row>
    <row r="12" ht="20.05" customHeight="1">
      <c r="B12" s="26">
        <v>2017</v>
      </c>
      <c r="C12" s="15">
        <v>609</v>
      </c>
      <c r="D12" s="16">
        <v>26032</v>
      </c>
      <c r="E12" s="16">
        <f>D12-C12</f>
        <v>25423</v>
      </c>
      <c r="F12" s="16">
        <f>983+4102</f>
        <v>5085</v>
      </c>
      <c r="G12" s="16">
        <v>15494</v>
      </c>
      <c r="H12" s="16">
        <v>10538</v>
      </c>
      <c r="I12" s="16">
        <f>G12+H12-C12-E12</f>
        <v>0</v>
      </c>
      <c r="J12" s="16">
        <f>C12-G12</f>
        <v>-14885</v>
      </c>
      <c r="K12" s="16"/>
    </row>
    <row r="13" ht="20.05" customHeight="1">
      <c r="B13" s="25"/>
      <c r="C13" s="15">
        <v>902</v>
      </c>
      <c r="D13" s="16">
        <v>25411</v>
      </c>
      <c r="E13" s="16">
        <f>D13-C13</f>
        <v>24509</v>
      </c>
      <c r="F13" s="16">
        <f>1005+4263</f>
        <v>5268</v>
      </c>
      <c r="G13" s="16">
        <v>14841</v>
      </c>
      <c r="H13" s="16">
        <v>10570</v>
      </c>
      <c r="I13" s="16">
        <f>G13+H13-C13-E13</f>
        <v>0</v>
      </c>
      <c r="J13" s="16">
        <f>C13-G13</f>
        <v>-13939</v>
      </c>
      <c r="K13" s="16"/>
    </row>
    <row r="14" ht="20.05" customHeight="1">
      <c r="B14" s="25"/>
      <c r="C14" s="15">
        <v>404</v>
      </c>
      <c r="D14" s="16">
        <v>25720</v>
      </c>
      <c r="E14" s="16">
        <f>D14-C14</f>
        <v>25316</v>
      </c>
      <c r="F14" s="16">
        <f>1028+4443</f>
        <v>5471</v>
      </c>
      <c r="G14" s="16">
        <v>15024</v>
      </c>
      <c r="H14" s="16">
        <v>10696</v>
      </c>
      <c r="I14" s="16">
        <f>G14+H14-C14-E14</f>
        <v>0</v>
      </c>
      <c r="J14" s="16">
        <f>C14-G14</f>
        <v>-14620</v>
      </c>
      <c r="K14" s="16"/>
    </row>
    <row r="15" ht="20.05" customHeight="1">
      <c r="B15" s="25"/>
      <c r="C15" s="15">
        <v>616</v>
      </c>
      <c r="D15" s="16">
        <v>27356</v>
      </c>
      <c r="E15" s="16">
        <f>D15-C15</f>
        <v>26740</v>
      </c>
      <c r="F15" s="16">
        <f>4612+1046</f>
        <v>5658</v>
      </c>
      <c r="G15" s="16">
        <v>15824</v>
      </c>
      <c r="H15" s="16">
        <v>11532</v>
      </c>
      <c r="I15" s="16">
        <f>G15+H15-C15-E15</f>
        <v>0</v>
      </c>
      <c r="J15" s="16">
        <f>C15-G15</f>
        <v>-15208</v>
      </c>
      <c r="K15" s="16"/>
    </row>
    <row r="16" ht="20.05" customHeight="1">
      <c r="B16" s="26">
        <v>2018</v>
      </c>
      <c r="C16" s="15">
        <v>203</v>
      </c>
      <c r="D16" s="16">
        <v>27770</v>
      </c>
      <c r="E16" s="16">
        <f>D16-C16</f>
        <v>27567</v>
      </c>
      <c r="F16" s="16">
        <f>1064+4805</f>
        <v>5869</v>
      </c>
      <c r="G16" s="16">
        <v>16144</v>
      </c>
      <c r="H16" s="16">
        <v>11626</v>
      </c>
      <c r="I16" s="16">
        <f>G16+H16-C16-E16</f>
        <v>0</v>
      </c>
      <c r="J16" s="16">
        <f>C16-G16</f>
        <v>-15941</v>
      </c>
      <c r="K16" s="16"/>
    </row>
    <row r="17" ht="20.05" customHeight="1">
      <c r="B17" s="25"/>
      <c r="C17" s="15">
        <v>1099</v>
      </c>
      <c r="D17" s="16">
        <v>30362</v>
      </c>
      <c r="E17" s="16">
        <f>D17-C17</f>
        <v>29263</v>
      </c>
      <c r="F17" s="16">
        <f>1083+5051</f>
        <v>6134</v>
      </c>
      <c r="G17" s="16">
        <v>19018</v>
      </c>
      <c r="H17" s="16">
        <v>11344</v>
      </c>
      <c r="I17" s="16">
        <f>G17+H17-C17-E17</f>
        <v>0</v>
      </c>
      <c r="J17" s="16">
        <f>C17-G17</f>
        <v>-17919</v>
      </c>
      <c r="K17" s="16"/>
    </row>
    <row r="18" ht="20.05" customHeight="1">
      <c r="B18" s="25"/>
      <c r="C18" s="15">
        <v>1030</v>
      </c>
      <c r="D18" s="16">
        <v>28904</v>
      </c>
      <c r="E18" s="16">
        <f>D18-C18</f>
        <v>27874</v>
      </c>
      <c r="F18" s="16">
        <f>1103+5267</f>
        <v>6370</v>
      </c>
      <c r="G18" s="16">
        <v>17334</v>
      </c>
      <c r="H18" s="16">
        <v>11570</v>
      </c>
      <c r="I18" s="16">
        <f>G18+H18-C18-E18</f>
        <v>0</v>
      </c>
      <c r="J18" s="16">
        <f>C18-G18</f>
        <v>-16304</v>
      </c>
      <c r="K18" s="16"/>
    </row>
    <row r="19" ht="20.05" customHeight="1">
      <c r="B19" s="25"/>
      <c r="C19" s="15">
        <v>649</v>
      </c>
      <c r="D19" s="16">
        <v>29310</v>
      </c>
      <c r="E19" s="16">
        <f>D19-C19</f>
        <v>28661</v>
      </c>
      <c r="F19" s="16">
        <f>1121+5390</f>
        <v>6511</v>
      </c>
      <c r="G19" s="16">
        <v>17061</v>
      </c>
      <c r="H19" s="16">
        <v>12249</v>
      </c>
      <c r="I19" s="16">
        <f>G19+H19-C19-E19</f>
        <v>0</v>
      </c>
      <c r="J19" s="16">
        <f>C19-G19</f>
        <v>-16412</v>
      </c>
      <c r="K19" s="16"/>
    </row>
    <row r="20" ht="20.05" customHeight="1">
      <c r="B20" s="26">
        <v>2019</v>
      </c>
      <c r="C20" s="15">
        <v>1888</v>
      </c>
      <c r="D20" s="16">
        <v>28367</v>
      </c>
      <c r="E20" s="16">
        <f>D20-C20</f>
        <v>26479</v>
      </c>
      <c r="F20" s="16">
        <f>1141+5525</f>
        <v>6666</v>
      </c>
      <c r="G20" s="16">
        <v>15651</v>
      </c>
      <c r="H20" s="16">
        <v>12716</v>
      </c>
      <c r="I20" s="16">
        <f>G20+H20-C20-E20</f>
        <v>0</v>
      </c>
      <c r="J20" s="16">
        <f>C20-G20</f>
        <v>-13763</v>
      </c>
      <c r="K20" s="16"/>
    </row>
    <row r="21" ht="20.05" customHeight="1">
      <c r="B21" s="25"/>
      <c r="C21" s="15">
        <v>1240</v>
      </c>
      <c r="D21" s="16">
        <v>27334</v>
      </c>
      <c r="E21" s="16">
        <f>D21-C21</f>
        <v>26094</v>
      </c>
      <c r="F21" s="16">
        <f>1160+5703</f>
        <v>6863</v>
      </c>
      <c r="G21" s="16">
        <v>17007</v>
      </c>
      <c r="H21" s="16">
        <v>10327</v>
      </c>
      <c r="I21" s="16">
        <f>G21+H21-C21-E21</f>
        <v>0</v>
      </c>
      <c r="J21" s="16">
        <f>C21-G21</f>
        <v>-15767</v>
      </c>
      <c r="K21" s="16"/>
    </row>
    <row r="22" ht="20.05" customHeight="1">
      <c r="B22" s="25"/>
      <c r="C22" s="15">
        <v>758</v>
      </c>
      <c r="D22" s="16">
        <v>26616</v>
      </c>
      <c r="E22" s="16">
        <f>D22-C22</f>
        <v>25858</v>
      </c>
      <c r="F22" s="16">
        <f>1179+5881</f>
        <v>7060</v>
      </c>
      <c r="G22" s="16">
        <v>16042</v>
      </c>
      <c r="H22" s="16">
        <v>10574</v>
      </c>
      <c r="I22" s="16">
        <f>G22+H22-C22-E22</f>
        <v>0</v>
      </c>
      <c r="J22" s="16">
        <f>C22-G22</f>
        <v>-15284</v>
      </c>
      <c r="K22" s="16"/>
    </row>
    <row r="23" ht="20.05" customHeight="1">
      <c r="B23" s="25"/>
      <c r="C23" s="15">
        <v>969</v>
      </c>
      <c r="D23" s="16">
        <v>27788</v>
      </c>
      <c r="E23" s="16">
        <f>D23-C23</f>
        <v>26819</v>
      </c>
      <c r="F23" s="16">
        <f>1189+6028</f>
        <v>7217</v>
      </c>
      <c r="G23" s="16">
        <v>16855</v>
      </c>
      <c r="H23" s="16">
        <v>10933</v>
      </c>
      <c r="I23" s="16">
        <f>G23+H23-C23-E23</f>
        <v>0</v>
      </c>
      <c r="J23" s="16">
        <f>C23-G23</f>
        <v>-15886</v>
      </c>
      <c r="K23" s="16"/>
    </row>
    <row r="24" ht="20.05" customHeight="1">
      <c r="B24" s="26">
        <v>2020</v>
      </c>
      <c r="C24" s="15">
        <v>1721</v>
      </c>
      <c r="D24" s="16">
        <v>29939</v>
      </c>
      <c r="E24" s="16">
        <f>D24-C24</f>
        <v>28218</v>
      </c>
      <c r="F24" s="16">
        <f>1208+6695</f>
        <v>7903</v>
      </c>
      <c r="G24" s="16">
        <v>20266</v>
      </c>
      <c r="H24" s="16">
        <v>9673</v>
      </c>
      <c r="I24" s="16">
        <f>G24+H24-C24-E24</f>
        <v>0</v>
      </c>
      <c r="J24" s="16">
        <f>C24-G24</f>
        <v>-18545</v>
      </c>
      <c r="K24" s="16"/>
    </row>
    <row r="25" ht="20.05" customHeight="1">
      <c r="B25" s="25"/>
      <c r="C25" s="15">
        <v>3401</v>
      </c>
      <c r="D25" s="16">
        <v>31131</v>
      </c>
      <c r="E25" s="16">
        <f>D25-C25</f>
        <v>27730</v>
      </c>
      <c r="F25" s="16">
        <f>1228+6683</f>
        <v>7911</v>
      </c>
      <c r="G25" s="16">
        <v>20182</v>
      </c>
      <c r="H25" s="16">
        <v>10949</v>
      </c>
      <c r="I25" s="16">
        <f>G25+H25-C25-E25</f>
        <v>0</v>
      </c>
      <c r="J25" s="16">
        <f>C25-G25</f>
        <v>-16781</v>
      </c>
      <c r="K25" s="16"/>
    </row>
    <row r="26" ht="20.05" customHeight="1">
      <c r="B26" s="25"/>
      <c r="C26" s="15">
        <v>3740</v>
      </c>
      <c r="D26" s="16">
        <v>31962</v>
      </c>
      <c r="E26" s="16">
        <f>D26-C26</f>
        <v>28222</v>
      </c>
      <c r="F26" s="16">
        <f>1247+6867</f>
        <v>8114</v>
      </c>
      <c r="G26" s="16">
        <v>20763</v>
      </c>
      <c r="H26" s="16">
        <v>11199</v>
      </c>
      <c r="I26" s="16">
        <f>G26+H26-C26-E26</f>
        <v>0</v>
      </c>
      <c r="J26" s="16">
        <f>C26-G26</f>
        <v>-17023</v>
      </c>
      <c r="K26" s="16"/>
    </row>
    <row r="27" ht="20.05" customHeight="1">
      <c r="B27" s="25"/>
      <c r="C27" s="15">
        <v>2824</v>
      </c>
      <c r="D27" s="16">
        <v>35026</v>
      </c>
      <c r="E27" s="16">
        <f>D27-C27</f>
        <v>32202</v>
      </c>
      <c r="F27" s="16">
        <f>1263+6933</f>
        <v>8196</v>
      </c>
      <c r="G27" s="16">
        <v>22502</v>
      </c>
      <c r="H27" s="16">
        <v>12524</v>
      </c>
      <c r="I27" s="16">
        <f>G27+H27-C27-E27</f>
        <v>0</v>
      </c>
      <c r="J27" s="16">
        <f>C27-G27</f>
        <v>-19678</v>
      </c>
      <c r="K27" s="16"/>
    </row>
    <row r="28" ht="20.05" customHeight="1">
      <c r="B28" s="26">
        <v>2021</v>
      </c>
      <c r="C28" s="15">
        <v>2921</v>
      </c>
      <c r="D28" s="16">
        <v>36284</v>
      </c>
      <c r="E28" s="16">
        <f>D28-C28</f>
        <v>33363</v>
      </c>
      <c r="F28" s="16">
        <f>1283+7144</f>
        <v>8427</v>
      </c>
      <c r="G28" s="16">
        <v>23475</v>
      </c>
      <c r="H28" s="16">
        <v>12809</v>
      </c>
      <c r="I28" s="16">
        <f>G28+H28-C28-E28</f>
        <v>0</v>
      </c>
      <c r="J28" s="16">
        <f>C28-G28</f>
        <v>-20554</v>
      </c>
      <c r="K28" s="16"/>
    </row>
    <row r="29" ht="20.05" customHeight="1">
      <c r="B29" s="25"/>
      <c r="C29" s="15">
        <v>3497</v>
      </c>
      <c r="D29" s="16">
        <v>37257</v>
      </c>
      <c r="E29" s="16">
        <f>D29-C29</f>
        <v>33760</v>
      </c>
      <c r="F29" s="16">
        <f>F28+'Sales'!E29</f>
        <v>8692</v>
      </c>
      <c r="G29" s="16">
        <v>24157</v>
      </c>
      <c r="H29" s="16">
        <v>13100</v>
      </c>
      <c r="I29" s="16">
        <f>G29+H29-C29-E29</f>
        <v>0</v>
      </c>
      <c r="J29" s="16">
        <f>C29-G29</f>
        <v>-20660</v>
      </c>
      <c r="K29" s="16"/>
    </row>
    <row r="30" ht="20.05" customHeight="1">
      <c r="B30" s="25"/>
      <c r="C30" s="15">
        <v>2335</v>
      </c>
      <c r="D30" s="16">
        <v>38458</v>
      </c>
      <c r="E30" s="16">
        <f>D30-C30</f>
        <v>36123</v>
      </c>
      <c r="F30" s="16">
        <f>1327+7540</f>
        <v>8867</v>
      </c>
      <c r="G30" s="16">
        <v>24587</v>
      </c>
      <c r="H30" s="16">
        <v>13871</v>
      </c>
      <c r="I30" s="16">
        <f>G30+H30-C30-E30</f>
        <v>0</v>
      </c>
      <c r="J30" s="16">
        <f>C30-G30</f>
        <v>-22252</v>
      </c>
      <c r="K30" s="16"/>
    </row>
    <row r="31" ht="20.05" customHeight="1">
      <c r="B31" s="25"/>
      <c r="C31" s="15">
        <v>2717</v>
      </c>
      <c r="D31" s="16">
        <v>40345</v>
      </c>
      <c r="E31" s="16">
        <f>D31-C31</f>
        <v>37628</v>
      </c>
      <c r="F31" s="16">
        <f>1341+7764</f>
        <v>9105</v>
      </c>
      <c r="G31" s="16">
        <v>25927</v>
      </c>
      <c r="H31" s="16">
        <v>14418</v>
      </c>
      <c r="I31" s="16">
        <f>G31+H31-C31-E31</f>
        <v>0</v>
      </c>
      <c r="J31" s="16">
        <f>C31-G31</f>
        <v>-23210</v>
      </c>
      <c r="K31" s="16"/>
    </row>
    <row r="32" ht="20.05" customHeight="1">
      <c r="B32" s="26">
        <v>2022</v>
      </c>
      <c r="C32" s="15">
        <v>2106</v>
      </c>
      <c r="D32" s="16">
        <v>42614</v>
      </c>
      <c r="E32" s="16">
        <f>D32-C32</f>
        <v>40508</v>
      </c>
      <c r="F32" s="16">
        <f>1363+7942</f>
        <v>9305</v>
      </c>
      <c r="G32" s="16">
        <v>27277</v>
      </c>
      <c r="H32" s="16">
        <v>15337</v>
      </c>
      <c r="I32" s="16">
        <f>G32+H32-C32-E32</f>
        <v>0</v>
      </c>
      <c r="J32" s="16">
        <f>C32-G32</f>
        <v>-25171</v>
      </c>
      <c r="K32" s="16">
        <v>-20336.1067169933</v>
      </c>
    </row>
    <row r="33" ht="20.05" customHeight="1">
      <c r="B33" s="25"/>
      <c r="C33" s="15"/>
      <c r="D33" s="16"/>
      <c r="E33" s="16"/>
      <c r="F33" s="16"/>
      <c r="G33" s="16"/>
      <c r="H33" s="16"/>
      <c r="I33" s="16"/>
      <c r="J33" s="16"/>
      <c r="K33" s="16">
        <f>'Model'!F32</f>
        <v>-21785.4535661351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4688" style="34" customWidth="1"/>
    <col min="2" max="2" width="6.26562" style="34" customWidth="1"/>
    <col min="3" max="5" width="8.1875" style="34" customWidth="1"/>
    <col min="6" max="16384" width="16.3516" style="34" customWidth="1"/>
  </cols>
  <sheetData>
    <row r="1" ht="38.9" customHeight="1"/>
    <row r="2" ht="27.65" customHeight="1">
      <c r="B2" t="s" s="2">
        <v>55</v>
      </c>
      <c r="C2" s="2"/>
      <c r="D2" s="2"/>
      <c r="E2" s="2"/>
    </row>
    <row r="3" ht="32.25" customHeight="1">
      <c r="B3" t="s" s="5">
        <v>56</v>
      </c>
      <c r="C3" t="s" s="5">
        <v>57</v>
      </c>
      <c r="D3" t="s" s="5">
        <v>38</v>
      </c>
      <c r="E3" t="s" s="5">
        <v>58</v>
      </c>
    </row>
    <row r="4" ht="20.25" customHeight="1">
      <c r="B4" s="22">
        <v>2018</v>
      </c>
      <c r="C4" s="35">
        <v>4630</v>
      </c>
      <c r="D4" s="36"/>
      <c r="E4" s="36"/>
    </row>
    <row r="5" ht="20.05" customHeight="1">
      <c r="B5" s="25"/>
      <c r="C5" s="37">
        <v>4100</v>
      </c>
      <c r="D5" s="38"/>
      <c r="E5" s="38"/>
    </row>
    <row r="6" ht="20.05" customHeight="1">
      <c r="B6" s="25"/>
      <c r="C6" s="37">
        <v>3900</v>
      </c>
      <c r="D6" s="38"/>
      <c r="E6" s="38"/>
    </row>
    <row r="7" ht="20.05" customHeight="1">
      <c r="B7" s="25"/>
      <c r="C7" s="37">
        <v>4050</v>
      </c>
      <c r="D7" s="38"/>
      <c r="E7" s="38"/>
    </row>
    <row r="8" ht="20.05" customHeight="1">
      <c r="B8" s="26">
        <v>2019</v>
      </c>
      <c r="C8" s="37">
        <v>4110</v>
      </c>
      <c r="D8" s="38"/>
      <c r="E8" s="38"/>
    </row>
    <row r="9" ht="20.05" customHeight="1">
      <c r="B9" s="25"/>
      <c r="C9" s="37">
        <v>4200</v>
      </c>
      <c r="D9" s="38"/>
      <c r="E9" s="38"/>
    </row>
    <row r="10" ht="20.05" customHeight="1">
      <c r="B10" s="25"/>
      <c r="C10" s="37">
        <v>3960</v>
      </c>
      <c r="D10" s="38"/>
      <c r="E10" s="38"/>
    </row>
    <row r="11" ht="20.05" customHeight="1">
      <c r="B11" s="25"/>
      <c r="C11" s="37">
        <v>4140</v>
      </c>
      <c r="D11" s="38"/>
      <c r="E11" s="38"/>
    </row>
    <row r="12" ht="20.05" customHeight="1">
      <c r="B12" s="26">
        <v>2020</v>
      </c>
      <c r="C12" s="37">
        <v>2470</v>
      </c>
      <c r="D12" s="38"/>
      <c r="E12" s="38"/>
    </row>
    <row r="13" ht="20.05" customHeight="1">
      <c r="B13" s="25"/>
      <c r="C13" s="37">
        <v>3130</v>
      </c>
      <c r="D13" s="16"/>
      <c r="E13" s="16"/>
    </row>
    <row r="14" ht="20.05" customHeight="1">
      <c r="B14" s="25"/>
      <c r="C14" s="15">
        <v>2890</v>
      </c>
      <c r="D14" s="16"/>
      <c r="E14" s="30"/>
    </row>
    <row r="15" ht="20.05" customHeight="1">
      <c r="B15" s="25"/>
      <c r="C15" s="15">
        <v>4150</v>
      </c>
      <c r="D15" s="16">
        <v>8761.880819210241</v>
      </c>
      <c r="E15" s="30"/>
    </row>
    <row r="16" ht="20.05" customHeight="1">
      <c r="B16" s="26">
        <v>2021</v>
      </c>
      <c r="C16" s="15">
        <v>3810</v>
      </c>
      <c r="D16" s="16">
        <v>8630.239436619730</v>
      </c>
      <c r="E16" s="30"/>
    </row>
    <row r="17" ht="20.05" customHeight="1">
      <c r="B17" s="25"/>
      <c r="C17" s="15">
        <v>3730</v>
      </c>
      <c r="D17" s="16">
        <v>9785.626404496979</v>
      </c>
      <c r="E17" s="30"/>
    </row>
    <row r="18" ht="20.05" customHeight="1">
      <c r="B18" s="25"/>
      <c r="C18" s="15">
        <v>4290</v>
      </c>
      <c r="D18" s="16">
        <v>9785.626404496979</v>
      </c>
      <c r="E18" s="16"/>
    </row>
    <row r="19" ht="20.05" customHeight="1">
      <c r="B19" s="25"/>
      <c r="C19" s="15">
        <v>4360</v>
      </c>
      <c r="D19" s="16">
        <v>9776.197729415129</v>
      </c>
      <c r="E19" s="30"/>
    </row>
    <row r="20" ht="20.05" customHeight="1">
      <c r="B20" s="26">
        <v>2022</v>
      </c>
      <c r="C20" s="15">
        <v>4800</v>
      </c>
      <c r="D20" s="16">
        <v>8326.366589329529</v>
      </c>
      <c r="E20" s="30"/>
    </row>
    <row r="21" ht="20.05" customHeight="1">
      <c r="B21" s="25"/>
      <c r="C21" s="15">
        <v>4870</v>
      </c>
      <c r="D21" s="16">
        <v>7438.278548168730</v>
      </c>
      <c r="E21" s="16"/>
    </row>
    <row r="22" ht="20.05" customHeight="1">
      <c r="B22" s="25"/>
      <c r="C22" s="15"/>
      <c r="D22" s="16">
        <f>'Model'!F45</f>
        <v>7251.318631915170</v>
      </c>
      <c r="E22" s="16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U4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0.5859" style="39" customWidth="1"/>
    <col min="11" max="21" width="11.375" style="40" customWidth="1"/>
    <col min="22" max="16384" width="16.3516" style="40" customWidth="1"/>
  </cols>
  <sheetData>
    <row r="1" ht="27.65" customHeight="1">
      <c r="A1" t="s" s="2">
        <v>59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12</v>
      </c>
      <c r="C2" t="s" s="5">
        <v>50</v>
      </c>
      <c r="D2" t="s" s="5">
        <v>60</v>
      </c>
      <c r="E2" t="s" s="5">
        <v>12</v>
      </c>
      <c r="F2" t="s" s="5">
        <v>50</v>
      </c>
      <c r="G2" t="s" s="5">
        <v>60</v>
      </c>
      <c r="H2" s="4"/>
      <c r="I2" s="4"/>
      <c r="J2" s="4"/>
    </row>
    <row r="3" ht="20.25" customHeight="1">
      <c r="A3" s="22">
        <v>2005</v>
      </c>
      <c r="B3" s="23">
        <f>253+98-102</f>
        <v>249</v>
      </c>
      <c r="C3" s="24">
        <v>0</v>
      </c>
      <c r="D3" s="24">
        <f>B3+C3</f>
        <v>249</v>
      </c>
      <c r="E3" s="24">
        <f>B3</f>
        <v>249</v>
      </c>
      <c r="F3" s="24">
        <f>C3</f>
        <v>0</v>
      </c>
      <c r="G3" s="24">
        <f>D3</f>
        <v>249</v>
      </c>
      <c r="H3" s="8"/>
      <c r="I3" s="8"/>
      <c r="J3" s="8"/>
    </row>
    <row r="4" ht="20.05" customHeight="1">
      <c r="A4" s="26">
        <f>1+$A3</f>
        <v>2006</v>
      </c>
      <c r="B4" s="15">
        <f>461-194</f>
        <v>267</v>
      </c>
      <c r="C4" s="16">
        <v>0</v>
      </c>
      <c r="D4" s="16">
        <f>B4+C4</f>
        <v>267</v>
      </c>
      <c r="E4" s="16">
        <f>B4+E3</f>
        <v>516</v>
      </c>
      <c r="F4" s="16">
        <f>C4+F3</f>
        <v>0</v>
      </c>
      <c r="G4" s="16">
        <f>D4+G3</f>
        <v>516</v>
      </c>
      <c r="H4" s="30"/>
      <c r="I4" s="30"/>
      <c r="J4" s="30"/>
    </row>
    <row r="5" ht="20.05" customHeight="1">
      <c r="A5" s="26">
        <f>1+$A4</f>
        <v>2007</v>
      </c>
      <c r="B5" s="15">
        <f>1015-227+186-651</f>
        <v>323</v>
      </c>
      <c r="C5" s="16">
        <v>-132</v>
      </c>
      <c r="D5" s="16">
        <f>B5+C5</f>
        <v>191</v>
      </c>
      <c r="E5" s="16">
        <f>B5+E4</f>
        <v>839</v>
      </c>
      <c r="F5" s="16">
        <f>C5+F4</f>
        <v>-132</v>
      </c>
      <c r="G5" s="16">
        <f>D5+G4</f>
        <v>707</v>
      </c>
      <c r="H5" s="30"/>
      <c r="I5" s="30"/>
      <c r="J5" s="30"/>
    </row>
    <row r="6" ht="20.05" customHeight="1">
      <c r="A6" s="26">
        <f>1+$A5</f>
        <v>2008</v>
      </c>
      <c r="B6" s="15">
        <f>1766-1431+110-34</f>
        <v>411</v>
      </c>
      <c r="C6" s="16">
        <v>-14</v>
      </c>
      <c r="D6" s="16">
        <f>B6+C6</f>
        <v>397</v>
      </c>
      <c r="E6" s="16">
        <f>B6+E5</f>
        <v>1250</v>
      </c>
      <c r="F6" s="16">
        <f>C6+F5</f>
        <v>-146</v>
      </c>
      <c r="G6" s="16">
        <f>D6+G5</f>
        <v>1104</v>
      </c>
      <c r="H6" s="30"/>
      <c r="I6" s="30"/>
      <c r="J6" s="30"/>
    </row>
    <row r="7" ht="20.05" customHeight="1">
      <c r="A7" s="26">
        <f>1+$A6</f>
        <v>2009</v>
      </c>
      <c r="B7" s="15">
        <f>3028-3503+952-92</f>
        <v>385</v>
      </c>
      <c r="C7" s="16">
        <v>-517</v>
      </c>
      <c r="D7" s="16">
        <f>B7+C7</f>
        <v>-132</v>
      </c>
      <c r="E7" s="16">
        <f>B7+E6</f>
        <v>1635</v>
      </c>
      <c r="F7" s="16">
        <f>C7+F6</f>
        <v>-663</v>
      </c>
      <c r="G7" s="16">
        <f>D7+G6</f>
        <v>972</v>
      </c>
      <c r="H7" s="30"/>
      <c r="I7" s="30"/>
      <c r="J7" s="30"/>
    </row>
    <row r="8" ht="20.05" customHeight="1">
      <c r="A8" s="26">
        <f>1+$A7</f>
        <v>2010</v>
      </c>
      <c r="B8" s="15">
        <f>4998-3683+110-535</f>
        <v>890</v>
      </c>
      <c r="C8" s="16">
        <v>-215</v>
      </c>
      <c r="D8" s="16">
        <f>B8+C8</f>
        <v>675</v>
      </c>
      <c r="E8" s="16">
        <f>B8+E7</f>
        <v>2525</v>
      </c>
      <c r="F8" s="16">
        <f>C8+F7</f>
        <v>-878</v>
      </c>
      <c r="G8" s="16">
        <f>D8+G7</f>
        <v>1647</v>
      </c>
      <c r="H8" s="30"/>
      <c r="I8" s="30"/>
      <c r="J8" s="30"/>
    </row>
    <row r="9" ht="20.05" customHeight="1">
      <c r="A9" s="26">
        <f>1+$A8</f>
        <v>2011</v>
      </c>
      <c r="B9" s="15">
        <f>7221-7468+74-119</f>
        <v>-292</v>
      </c>
      <c r="C9" s="16">
        <v>-431</v>
      </c>
      <c r="D9" s="16">
        <f>B9+C9</f>
        <v>-723</v>
      </c>
      <c r="E9" s="16">
        <f>B9+E8</f>
        <v>2233</v>
      </c>
      <c r="F9" s="16">
        <f>C9+F8</f>
        <v>-1309</v>
      </c>
      <c r="G9" s="16">
        <f>D9+G8</f>
        <v>924</v>
      </c>
      <c r="H9" s="30"/>
      <c r="I9" s="30"/>
      <c r="J9" s="30"/>
    </row>
    <row r="10" ht="20.05" customHeight="1">
      <c r="A10" s="26">
        <f>1+$A9</f>
        <v>2012</v>
      </c>
      <c r="B10" s="15">
        <f>8109-8943+45-193</f>
        <v>-982</v>
      </c>
      <c r="C10" s="16">
        <v>-574</v>
      </c>
      <c r="D10" s="16">
        <f>B10+C10</f>
        <v>-1556</v>
      </c>
      <c r="E10" s="16">
        <f>B10+E9</f>
        <v>1251</v>
      </c>
      <c r="F10" s="16">
        <f>C10+F9</f>
        <v>-1883</v>
      </c>
      <c r="G10" s="16">
        <f>D10+G9</f>
        <v>-632</v>
      </c>
      <c r="H10" s="30"/>
      <c r="I10" s="30"/>
      <c r="J10" s="30"/>
    </row>
    <row r="11" ht="20.05" customHeight="1">
      <c r="A11" s="26">
        <f>1+$A10</f>
        <v>2013</v>
      </c>
      <c r="B11" s="15">
        <f>13966-11085-158</f>
        <v>2723</v>
      </c>
      <c r="C11" s="16">
        <v>-3446</v>
      </c>
      <c r="D11" s="16">
        <f>B11+C11</f>
        <v>-723</v>
      </c>
      <c r="E11" s="16">
        <f>B11+E10</f>
        <v>3974</v>
      </c>
      <c r="F11" s="16">
        <f>C11+F10</f>
        <v>-5329</v>
      </c>
      <c r="G11" s="16">
        <f>D11+G10</f>
        <v>-1355</v>
      </c>
      <c r="H11" s="30"/>
      <c r="I11" s="30"/>
      <c r="J11" s="30"/>
    </row>
    <row r="12" ht="20.05" customHeight="1">
      <c r="A12" s="26">
        <f>1+$A11</f>
        <v>2014</v>
      </c>
      <c r="B12" s="15">
        <f>18796-17135-224</f>
        <v>1437</v>
      </c>
      <c r="C12" s="16">
        <v>-14</v>
      </c>
      <c r="D12" s="16">
        <f>B12+C12</f>
        <v>1423</v>
      </c>
      <c r="E12" s="16">
        <f>B12+E11</f>
        <v>5411</v>
      </c>
      <c r="F12" s="16">
        <f>C12+F11</f>
        <v>-5343</v>
      </c>
      <c r="G12" s="16">
        <f>D12+G11</f>
        <v>68</v>
      </c>
      <c r="H12" s="30"/>
      <c r="I12" s="30"/>
      <c r="J12" s="30"/>
    </row>
    <row r="13" ht="20.05" customHeight="1">
      <c r="A13" s="26">
        <f>1+$A12</f>
        <v>2015</v>
      </c>
      <c r="B13" s="15">
        <f>21327-20597+2057-493</f>
        <v>2294</v>
      </c>
      <c r="C13" s="16">
        <v>-29</v>
      </c>
      <c r="D13" s="16">
        <f>B13+C13</f>
        <v>2265</v>
      </c>
      <c r="E13" s="16">
        <f>B13+E12</f>
        <v>7705</v>
      </c>
      <c r="F13" s="16">
        <f>C13+F12</f>
        <v>-5372</v>
      </c>
      <c r="G13" s="16">
        <f>D13+G12</f>
        <v>2333</v>
      </c>
      <c r="H13" s="30"/>
      <c r="I13" s="30"/>
      <c r="J13" s="30"/>
    </row>
    <row r="14" ht="20.05" customHeight="1">
      <c r="A14" s="26">
        <f>1+$A13</f>
        <v>2016</v>
      </c>
      <c r="B14" s="15">
        <f>23498-27664+4830-145</f>
        <v>519</v>
      </c>
      <c r="C14" s="16">
        <v>0</v>
      </c>
      <c r="D14" s="16">
        <f>B14+C14</f>
        <v>519</v>
      </c>
      <c r="E14" s="16">
        <f>B14+E13</f>
        <v>8224</v>
      </c>
      <c r="F14" s="16">
        <f>C14+F13</f>
        <v>-5372</v>
      </c>
      <c r="G14" s="16">
        <f>D14+G13</f>
        <v>2852</v>
      </c>
      <c r="H14" s="30"/>
      <c r="I14" s="30"/>
      <c r="J14" s="30"/>
    </row>
    <row r="15" ht="20.05" customHeight="1">
      <c r="A15" s="26">
        <f>1+$A14</f>
        <v>2017</v>
      </c>
      <c r="B15" s="15">
        <f>23707-22944+799-335-900</f>
        <v>327</v>
      </c>
      <c r="C15" s="16">
        <v>-72</v>
      </c>
      <c r="D15" s="16">
        <f>B15+C15</f>
        <v>255</v>
      </c>
      <c r="E15" s="16">
        <f>B15+E14</f>
        <v>8551</v>
      </c>
      <c r="F15" s="16">
        <f>C15+F14</f>
        <v>-5444</v>
      </c>
      <c r="G15" s="16">
        <f>D15+G14</f>
        <v>3107</v>
      </c>
      <c r="H15" s="30"/>
      <c r="I15" s="30"/>
      <c r="J15" s="30"/>
    </row>
    <row r="16" ht="20.05" customHeight="1">
      <c r="A16" s="26">
        <f>1+$A15</f>
        <v>2018</v>
      </c>
      <c r="B16" s="15">
        <f>21092-21518+2839-2009</f>
        <v>404</v>
      </c>
      <c r="C16" s="16">
        <v>-86</v>
      </c>
      <c r="D16" s="16">
        <f>B16+C16</f>
        <v>318</v>
      </c>
      <c r="E16" s="16">
        <f>B16+E15</f>
        <v>8955</v>
      </c>
      <c r="F16" s="16">
        <f>C16+F15</f>
        <v>-5530</v>
      </c>
      <c r="G16" s="16">
        <f>D16+G15</f>
        <v>3425</v>
      </c>
      <c r="H16" s="30"/>
      <c r="I16" s="30"/>
      <c r="J16" s="30"/>
    </row>
    <row r="17" ht="20.05" customHeight="1">
      <c r="A17" s="26">
        <f>1+$A16</f>
        <v>2019</v>
      </c>
      <c r="B17" s="15">
        <f>18859-16825+2255-4280-100</f>
        <v>-91</v>
      </c>
      <c r="C17" s="16">
        <v>-2154</v>
      </c>
      <c r="D17" s="16">
        <f>B17+C17</f>
        <v>-2245</v>
      </c>
      <c r="E17" s="16">
        <f>B17+E16</f>
        <v>8864</v>
      </c>
      <c r="F17" s="16">
        <f>C17+F16</f>
        <v>-7684</v>
      </c>
      <c r="G17" s="16">
        <f>D17+G16</f>
        <v>1180</v>
      </c>
      <c r="H17" s="30"/>
      <c r="I17" s="30"/>
      <c r="J17" s="30"/>
    </row>
    <row r="18" ht="20.05" customHeight="1">
      <c r="A18" s="26">
        <f>1+$A17</f>
        <v>2020</v>
      </c>
      <c r="B18" s="15">
        <f>18138-16079+1500-1114+2174</f>
        <v>4619</v>
      </c>
      <c r="C18" s="16">
        <v>0</v>
      </c>
      <c r="D18" s="16">
        <f>B18+C18</f>
        <v>4619</v>
      </c>
      <c r="E18" s="16">
        <f>B18+E17</f>
        <v>13483</v>
      </c>
      <c r="F18" s="16">
        <f>C18+F17</f>
        <v>-7684</v>
      </c>
      <c r="G18" s="16">
        <f>D18+G17</f>
        <v>5799</v>
      </c>
      <c r="H18" s="30"/>
      <c r="I18" s="30"/>
      <c r="J18" s="30"/>
    </row>
    <row r="19" ht="20.05" customHeight="1">
      <c r="A19" s="26">
        <f>1+$A18</f>
        <v>2021</v>
      </c>
      <c r="B19" s="15">
        <f>SUM('Cashflow'!G28:G31)</f>
        <v>1661.7</v>
      </c>
      <c r="C19" s="16">
        <f>SUM('Cashflow'!H28:H31)</f>
        <v>-990.6</v>
      </c>
      <c r="D19" s="16">
        <f>B19+C19</f>
        <v>671.1</v>
      </c>
      <c r="E19" s="16">
        <f>B19+E18</f>
        <v>15144.7</v>
      </c>
      <c r="F19" s="16">
        <f>C19+F18</f>
        <v>-8674.6</v>
      </c>
      <c r="G19" s="16">
        <f>D19+G18</f>
        <v>6470.1</v>
      </c>
      <c r="H19" s="16">
        <f>AVERAGE(D3:D19)</f>
        <v>380.594117647059</v>
      </c>
      <c r="I19" s="16">
        <f>AVERAGE(D15:D19)</f>
        <v>723.62</v>
      </c>
      <c r="J19" s="16">
        <f>SUM('Cashflow'!G29:H32)</f>
        <v>1552</v>
      </c>
    </row>
    <row r="20" ht="20.05" customHeight="1">
      <c r="A20" s="26">
        <f>1+$A19</f>
        <v>2022</v>
      </c>
      <c r="B20" s="15">
        <f>'Cashflow'!G32</f>
        <v>1508.2</v>
      </c>
      <c r="C20" s="16">
        <f>'Cashflow'!H32</f>
        <v>0</v>
      </c>
      <c r="D20" s="16">
        <f>B20+C20</f>
        <v>1508.2</v>
      </c>
      <c r="E20" s="16">
        <f>B20+E19</f>
        <v>16652.9</v>
      </c>
      <c r="F20" s="16">
        <f>C20+F19</f>
        <v>-8674.6</v>
      </c>
      <c r="G20" s="16">
        <f>D20+G19</f>
        <v>7978.3</v>
      </c>
      <c r="H20" s="30"/>
      <c r="I20" s="30"/>
      <c r="J20" s="30"/>
    </row>
    <row r="22" ht="27.65" customHeight="1">
      <c r="K22" t="s" s="2">
        <v>61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20.25" customHeight="1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20.25" customHeight="1">
      <c r="K24" s="41"/>
      <c r="L24" t="s" s="42">
        <v>62</v>
      </c>
      <c r="M24" s="43">
        <v>13987565535232</v>
      </c>
      <c r="N24" s="8"/>
      <c r="O24" s="8"/>
      <c r="P24" s="8"/>
      <c r="Q24" s="8"/>
      <c r="R24" s="8"/>
      <c r="S24" s="8"/>
      <c r="T24" s="8"/>
      <c r="U24" s="8"/>
    </row>
    <row r="25" ht="32.05" customHeight="1">
      <c r="K25" s="25"/>
      <c r="L25" t="s" s="44">
        <v>57</v>
      </c>
      <c r="M25" t="s" s="45">
        <v>63</v>
      </c>
      <c r="N25" s="30"/>
      <c r="O25" s="30"/>
      <c r="P25" s="30"/>
      <c r="Q25" s="30"/>
      <c r="R25" s="30"/>
      <c r="S25" s="30"/>
      <c r="T25" s="30"/>
      <c r="U25" s="30"/>
    </row>
    <row r="26" ht="20.05" customHeight="1">
      <c r="K26" s="25"/>
      <c r="L26" s="46">
        <v>44641</v>
      </c>
      <c r="M26" s="30"/>
      <c r="N26" s="30"/>
      <c r="O26" s="30"/>
      <c r="P26" s="30"/>
      <c r="Q26" s="30"/>
      <c r="R26" s="30"/>
      <c r="S26" s="30"/>
      <c r="T26" s="30"/>
      <c r="U26" s="30"/>
    </row>
    <row r="27" ht="20.05" customHeight="1">
      <c r="K27" s="25"/>
      <c r="L27" t="s" s="44">
        <v>64</v>
      </c>
      <c r="M27" s="28">
        <f>$A3</f>
        <v>2005</v>
      </c>
      <c r="N27" s="30"/>
      <c r="O27" s="30"/>
      <c r="P27" s="30"/>
      <c r="Q27" s="30"/>
      <c r="R27" s="30"/>
      <c r="S27" s="30"/>
      <c r="T27" s="30"/>
      <c r="U27" s="30"/>
    </row>
    <row r="28" ht="32.05" customHeight="1">
      <c r="K28" s="25"/>
      <c r="L28" t="s" s="44">
        <v>65</v>
      </c>
      <c r="M28" s="28">
        <f>(2022-M27)*4</f>
        <v>68</v>
      </c>
      <c r="N28" s="30"/>
      <c r="O28" s="30"/>
      <c r="P28" s="30"/>
      <c r="Q28" s="30"/>
      <c r="R28" s="30"/>
      <c r="S28" s="30"/>
      <c r="T28" s="30"/>
      <c r="U28" s="30"/>
    </row>
    <row r="29" ht="20.05" customHeight="1">
      <c r="K29" s="25"/>
      <c r="L29" t="s" s="44">
        <v>66</v>
      </c>
      <c r="M29" s="16">
        <f>(M24/1000000000)</f>
        <v>13987.565535232</v>
      </c>
      <c r="N29" s="30"/>
      <c r="O29" s="30"/>
      <c r="P29" s="30"/>
      <c r="Q29" s="30"/>
      <c r="R29" s="30"/>
      <c r="S29" s="30"/>
      <c r="T29" s="30"/>
      <c r="U29" s="30"/>
    </row>
    <row r="30" ht="20.05" customHeight="1">
      <c r="K30" s="25"/>
      <c r="L30" t="s" s="44">
        <v>12</v>
      </c>
      <c r="M30" s="16">
        <f>R34</f>
        <v>15144.7</v>
      </c>
      <c r="N30" t="s" s="45">
        <f>R31</f>
        <v>67</v>
      </c>
      <c r="O30" t="s" s="45">
        <f>IF(M30&gt;0,"raised","paid")</f>
        <v>68</v>
      </c>
      <c r="P30" s="30"/>
      <c r="Q30" s="30"/>
      <c r="R30" s="30"/>
      <c r="S30" s="30"/>
      <c r="T30" s="30"/>
      <c r="U30" s="30"/>
    </row>
    <row r="31" ht="32.05" customHeight="1">
      <c r="K31" s="25"/>
      <c r="L31" t="s" s="44">
        <f>L25</f>
        <v>57</v>
      </c>
      <c r="M31" t="s" s="45">
        <v>69</v>
      </c>
      <c r="N31" t="s" s="45">
        <f>IF(Q31&gt;0,"raised","paid")</f>
        <v>68</v>
      </c>
      <c r="O31" t="s" s="45">
        <v>70</v>
      </c>
      <c r="P31" t="s" s="45">
        <v>71</v>
      </c>
      <c r="Q31" s="16">
        <f>AVERAGE(B3:B19)</f>
        <v>890.864705882353</v>
      </c>
      <c r="R31" t="s" s="45">
        <v>67</v>
      </c>
      <c r="S31" t="s" s="45">
        <v>72</v>
      </c>
      <c r="T31" s="12">
        <f>Q31/M29</f>
        <v>0.0636897609979689</v>
      </c>
      <c r="U31" t="s" s="45">
        <v>73</v>
      </c>
    </row>
    <row r="32" ht="32.05" customHeight="1">
      <c r="K32" s="25"/>
      <c r="L32" t="s" s="44">
        <v>74</v>
      </c>
      <c r="M32" t="s" s="45">
        <f>O31</f>
        <v>70</v>
      </c>
      <c r="N32" t="s" s="45">
        <v>75</v>
      </c>
      <c r="O32" t="s" s="45">
        <f>IF(Q32&gt;0,"raised","paid")</f>
        <v>68</v>
      </c>
      <c r="P32" t="s" s="45">
        <v>71</v>
      </c>
      <c r="Q32" s="16">
        <f>AVERAGE(B15:B19)</f>
        <v>1384.14</v>
      </c>
      <c r="R32" t="s" s="45">
        <f>R31</f>
        <v>67</v>
      </c>
      <c r="S32" t="s" s="45">
        <v>72</v>
      </c>
      <c r="T32" s="12">
        <f>Q32/M29</f>
        <v>0.0989550323473814</v>
      </c>
      <c r="U32" t="s" s="45">
        <v>73</v>
      </c>
    </row>
    <row r="33" ht="44.05" customHeight="1">
      <c r="K33" s="25"/>
      <c r="L33" t="s" s="44">
        <v>76</v>
      </c>
      <c r="M33" t="s" s="45">
        <v>77</v>
      </c>
      <c r="N33" s="16">
        <f>MAX(E3:E19)</f>
        <v>15144.7</v>
      </c>
      <c r="O33" t="s" s="45">
        <f>R32</f>
        <v>67</v>
      </c>
      <c r="P33" t="s" s="45">
        <v>78</v>
      </c>
      <c r="Q33" s="28">
        <f>$A19</f>
        <v>2021</v>
      </c>
      <c r="R33" s="30"/>
      <c r="S33" s="30"/>
      <c r="T33" s="30"/>
      <c r="U33" s="30"/>
    </row>
    <row r="34" ht="32.05" customHeight="1">
      <c r="K34" s="25"/>
      <c r="L34" t="s" s="44">
        <v>79</v>
      </c>
      <c r="M34" t="s" s="45">
        <f>M32</f>
        <v>70</v>
      </c>
      <c r="N34" t="s" s="45">
        <v>80</v>
      </c>
      <c r="O34" t="s" s="45">
        <v>81</v>
      </c>
      <c r="P34" t="s" s="45">
        <f>IF(R34&lt;N33,"down","up")</f>
        <v>82</v>
      </c>
      <c r="Q34" t="s" s="45">
        <v>83</v>
      </c>
      <c r="R34" s="16">
        <f>E19</f>
        <v>15144.7</v>
      </c>
      <c r="S34" t="s" s="45">
        <f>R32</f>
        <v>67</v>
      </c>
      <c r="T34" s="30"/>
      <c r="U34" s="30"/>
    </row>
    <row r="35" ht="20.05" customHeight="1">
      <c r="K35" s="25"/>
      <c r="L35" t="s" s="44">
        <v>50</v>
      </c>
      <c r="M35" s="16">
        <f>R39</f>
        <v>-8674.6</v>
      </c>
      <c r="N35" t="s" s="45">
        <f>S34</f>
        <v>67</v>
      </c>
      <c r="O35" t="s" s="45">
        <f>IF(M35&gt;0,"raised","paid")</f>
        <v>84</v>
      </c>
      <c r="P35" s="30"/>
      <c r="Q35" s="30"/>
      <c r="R35" s="30"/>
      <c r="S35" s="30"/>
      <c r="T35" s="30"/>
      <c r="U35" s="30"/>
    </row>
    <row r="36" ht="32.05" customHeight="1">
      <c r="K36" s="25"/>
      <c r="L36" t="s" s="44">
        <f>L31</f>
        <v>57</v>
      </c>
      <c r="M36" t="s" s="45">
        <v>69</v>
      </c>
      <c r="N36" t="s" s="45">
        <f>IF(Q36&gt;0,"raised","paid")</f>
        <v>84</v>
      </c>
      <c r="O36" t="s" s="45">
        <v>85</v>
      </c>
      <c r="P36" t="s" s="45">
        <f>P31</f>
        <v>71</v>
      </c>
      <c r="Q36" s="16">
        <f>AVERAGE(C3:C19)</f>
        <v>-510.270588235294</v>
      </c>
      <c r="R36" t="s" s="45">
        <f>R31</f>
        <v>67</v>
      </c>
      <c r="S36" t="s" s="45">
        <f>S31</f>
        <v>72</v>
      </c>
      <c r="T36" s="12">
        <f>Q36/M29</f>
        <v>-0.0364803000886766</v>
      </c>
      <c r="U36" t="s" s="45">
        <f>U31</f>
        <v>73</v>
      </c>
    </row>
    <row r="37" ht="32.05" customHeight="1">
      <c r="K37" s="25"/>
      <c r="L37" t="s" s="44">
        <v>74</v>
      </c>
      <c r="M37" t="s" s="45">
        <f>O36</f>
        <v>85</v>
      </c>
      <c r="N37" t="s" s="45">
        <v>86</v>
      </c>
      <c r="O37" t="s" s="45">
        <f>IF(Q37&gt;0,"raised","paid")</f>
        <v>84</v>
      </c>
      <c r="P37" t="s" s="45">
        <v>71</v>
      </c>
      <c r="Q37" s="16">
        <f>AVERAGE(C15:C19)</f>
        <v>-660.52</v>
      </c>
      <c r="R37" t="s" s="45">
        <f>R36</f>
        <v>67</v>
      </c>
      <c r="S37" t="s" s="45">
        <v>72</v>
      </c>
      <c r="T37" s="12">
        <f>Q37/M29</f>
        <v>-0.0472219413976132</v>
      </c>
      <c r="U37" t="s" s="45">
        <f>U32</f>
        <v>73</v>
      </c>
    </row>
    <row r="38" ht="44.05" customHeight="1">
      <c r="K38" s="25"/>
      <c r="L38" t="s" s="44">
        <v>87</v>
      </c>
      <c r="M38" t="s" s="45">
        <v>77</v>
      </c>
      <c r="N38" s="16">
        <f>MAX(F3:F19)</f>
        <v>0</v>
      </c>
      <c r="O38" t="s" s="45">
        <f>R37</f>
        <v>67</v>
      </c>
      <c r="P38" t="s" s="45">
        <v>78</v>
      </c>
      <c r="Q38" s="28">
        <f>$A4</f>
        <v>2006</v>
      </c>
      <c r="R38" s="30"/>
      <c r="S38" s="30"/>
      <c r="T38" s="30"/>
      <c r="U38" s="30"/>
    </row>
    <row r="39" ht="32.05" customHeight="1">
      <c r="K39" s="25"/>
      <c r="L39" t="s" s="44">
        <v>79</v>
      </c>
      <c r="M39" t="s" s="45">
        <f>M37</f>
        <v>85</v>
      </c>
      <c r="N39" t="s" s="45">
        <v>80</v>
      </c>
      <c r="O39" t="s" s="45">
        <v>88</v>
      </c>
      <c r="P39" t="s" s="45">
        <f>IF(R39&lt;N38,"down","up")</f>
        <v>89</v>
      </c>
      <c r="Q39" t="s" s="45">
        <v>83</v>
      </c>
      <c r="R39" s="16">
        <f>F19</f>
        <v>-8674.6</v>
      </c>
      <c r="S39" t="s" s="45">
        <f>R37</f>
        <v>67</v>
      </c>
      <c r="T39" s="30"/>
      <c r="U39" s="30"/>
    </row>
    <row r="40" ht="20.05" customHeight="1">
      <c r="K40" s="25"/>
      <c r="L40" t="s" s="44">
        <v>90</v>
      </c>
      <c r="M40" s="16">
        <f>R44</f>
        <v>6470.1</v>
      </c>
      <c r="N40" t="s" s="45">
        <f>S39</f>
        <v>67</v>
      </c>
      <c r="O40" t="s" s="45">
        <f>IF(M40&gt;0,"raised","paid")</f>
        <v>68</v>
      </c>
      <c r="P40" s="30"/>
      <c r="Q40" s="30"/>
      <c r="R40" s="30"/>
      <c r="S40" s="30"/>
      <c r="T40" s="30"/>
      <c r="U40" s="30"/>
    </row>
    <row r="41" ht="32.05" customHeight="1">
      <c r="K41" s="25"/>
      <c r="L41" t="s" s="44">
        <f>L36</f>
        <v>57</v>
      </c>
      <c r="M41" t="s" s="45">
        <v>69</v>
      </c>
      <c r="N41" t="s" s="45">
        <f>IF(Q41&gt;0,"raised","paid")</f>
        <v>68</v>
      </c>
      <c r="O41" t="s" s="45">
        <v>91</v>
      </c>
      <c r="P41" t="s" s="45">
        <f>P36</f>
        <v>71</v>
      </c>
      <c r="Q41" s="16">
        <f>AVERAGE(D3:D19)</f>
        <v>380.594117647059</v>
      </c>
      <c r="R41" t="s" s="45">
        <f>R36</f>
        <v>67</v>
      </c>
      <c r="S41" t="s" s="45">
        <f>S36</f>
        <v>72</v>
      </c>
      <c r="T41" s="12">
        <f>Q41/M29</f>
        <v>0.0272094609092923</v>
      </c>
      <c r="U41" t="s" s="45">
        <f>U36</f>
        <v>73</v>
      </c>
    </row>
    <row r="42" ht="32.05" customHeight="1">
      <c r="K42" s="25"/>
      <c r="L42" t="s" s="44">
        <v>74</v>
      </c>
      <c r="M42" t="s" s="45">
        <f>O41</f>
        <v>91</v>
      </c>
      <c r="N42" t="s" s="45">
        <v>86</v>
      </c>
      <c r="O42" t="s" s="45">
        <f>IF(Q42&gt;0,"raised","paid")</f>
        <v>68</v>
      </c>
      <c r="P42" t="s" s="45">
        <v>71</v>
      </c>
      <c r="Q42" s="16">
        <f>AVERAGE(D15:D19)</f>
        <v>723.62</v>
      </c>
      <c r="R42" t="s" s="45">
        <f>R41</f>
        <v>67</v>
      </c>
      <c r="S42" t="s" s="45">
        <v>72</v>
      </c>
      <c r="T42" s="12">
        <f>Q42/M29</f>
        <v>0.0517330909497682</v>
      </c>
      <c r="U42" t="s" s="45">
        <f>U37</f>
        <v>73</v>
      </c>
    </row>
    <row r="43" ht="44.05" customHeight="1">
      <c r="K43" s="25"/>
      <c r="L43" t="s" s="44">
        <v>92</v>
      </c>
      <c r="M43" t="s" s="45">
        <v>77</v>
      </c>
      <c r="N43" s="16">
        <f>MAX(G3:G19)</f>
        <v>6470.1</v>
      </c>
      <c r="O43" t="s" s="45">
        <f>R42</f>
        <v>67</v>
      </c>
      <c r="P43" t="s" s="45">
        <v>78</v>
      </c>
      <c r="Q43" s="28">
        <f>$A19</f>
        <v>2021</v>
      </c>
      <c r="R43" s="30"/>
      <c r="S43" s="30"/>
      <c r="T43" s="30"/>
      <c r="U43" s="30"/>
    </row>
    <row r="44" ht="32.05" customHeight="1">
      <c r="K44" s="25"/>
      <c r="L44" t="s" s="44">
        <v>79</v>
      </c>
      <c r="M44" t="s" s="45">
        <f>M42</f>
        <v>91</v>
      </c>
      <c r="N44" t="s" s="45">
        <v>80</v>
      </c>
      <c r="O44" t="s" s="45">
        <v>88</v>
      </c>
      <c r="P44" t="s" s="45">
        <f>IF(R44&lt;N43,"down","up")</f>
        <v>82</v>
      </c>
      <c r="Q44" t="s" s="45">
        <v>83</v>
      </c>
      <c r="R44" s="16">
        <f>G19</f>
        <v>6470.1</v>
      </c>
      <c r="S44" t="s" s="45">
        <f>R42</f>
        <v>67</v>
      </c>
      <c r="T44" s="12"/>
      <c r="U44" s="30"/>
    </row>
  </sheetData>
  <mergeCells count="2">
    <mergeCell ref="A1:J1"/>
    <mergeCell ref="K22:U2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