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<sst xmlns="http://schemas.openxmlformats.org/spreadsheetml/2006/main" uniqueCount="58">
  <si>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</si>
  <si>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</si>
  <si>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</si>
  <si>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 xml:space="preserve">Cashflow 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</si>
  <si>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</si>
  <si>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</si>
  <si>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</si>
  <si>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</si>
  <si>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</si>
  <si>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</si>
  <si>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</si>
  <si>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</si>
  <si>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</si>
  <si>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</si>
  <si>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</si>
  <si>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</si>
  <si>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</si>
  <si>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</si>
  <si>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</si>
  <si>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</si>
  <si>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</si>
  <si>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</si>
  <si>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</si>
  <si>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</si>
  <si>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</si>
  <si>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</si>
  <si>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</si>
  <si>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</si>
  <si>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</si>
  <si>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</si>
  <si>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</si>
  <si>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</si>
  <si>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</si>
  <si>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</si>
  <si>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</si>
  <si>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</si>
  <si>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</si>
  <si>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</si>
  <si>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</si>
  <si>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</si>
  <si>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</si>
  <si>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</si>
  <si>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</si>
  <si>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</si>
  <si>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 xml:space="preserve">Cashflow costs </t>
  </si>
  <si>
    <t>Cashflow</t>
  </si>
  <si>
    <t>Receipts</t>
  </si>
  <si>
    <t>Lease</t>
  </si>
  <si>
    <t>Liabilities</t>
  </si>
  <si>
    <t xml:space="preserve">Free cashflow </t>
  </si>
  <si>
    <t>Capital</t>
  </si>
  <si>
    <t>Cash</t>
  </si>
  <si>
    <t>Assets</t>
  </si>
  <si>
    <t>Other Assets</t>
  </si>
  <si>
    <t>Share price</t>
  </si>
  <si>
    <t>SIDO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</si>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</sst>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3" borderId="3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417355</xdr:colOff>
      <xdr:row>2</xdr:row>
      <xdr:rowOff>50247</xdr:rowOff>
    </xdr:from>
    <xdr:to>
      <xdr:col>13</xdr:col>
      <xdr:colOff>81696</xdr:colOff>
      <xdr:row>46</xdr:row>
      <xdr:rowOff>86447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24255" y="712552"/>
          <a:ext cx="8376542" cy="112452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0156" style="1" customWidth="1"/>
    <col min="2" max="2" width="16.0703" style="1" customWidth="1"/>
    <col min="3" max="6" width="9.14062" style="1" customWidth="1"/>
    <col min="7" max="16384" width="16.3516" style="1" customWidth="1"/>
  </cols>
  <sheetData>
    <row r="1" ht="24.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0.0583939939975806</v>
      </c>
      <c r="D4" s="8"/>
      <c r="E4" s="8"/>
      <c r="F4" s="9">
        <f>AVERAGE(C5:F5)</f>
        <v>0.0375</v>
      </c>
    </row>
    <row r="5" ht="20.05" customHeight="1">
      <c r="B5" t="s" s="10">
        <v>4</v>
      </c>
      <c r="C5" s="11">
        <v>-0.2</v>
      </c>
      <c r="D5" s="12">
        <v>0.05</v>
      </c>
      <c r="E5" s="12">
        <v>0.15</v>
      </c>
      <c r="F5" s="12">
        <v>0.15</v>
      </c>
    </row>
    <row r="6" ht="20.05" customHeight="1">
      <c r="B6" t="s" s="10">
        <v>5</v>
      </c>
      <c r="C6" s="13">
        <f>'Sales'!C31*(1+C5)</f>
        <v>996</v>
      </c>
      <c r="D6" s="14">
        <f>C6*(1+D5)</f>
        <v>1045.8</v>
      </c>
      <c r="E6" s="14">
        <f>D6*(1+E5)</f>
        <v>1202.67</v>
      </c>
      <c r="F6" s="14">
        <f>E6*(1+F5)</f>
        <v>1383.0705</v>
      </c>
    </row>
    <row r="7" ht="20.05" customHeight="1">
      <c r="B7" t="s" s="10">
        <v>6</v>
      </c>
      <c r="C7" s="11">
        <f>AVERAGE('Sales'!H31)</f>
        <v>-0.661767068273092</v>
      </c>
      <c r="D7" s="12">
        <f>'Sales'!H25</f>
        <v>-0.714279835390947</v>
      </c>
      <c r="E7" s="12">
        <f>'Sales'!H24</f>
        <v>-0.6484268125854989</v>
      </c>
      <c r="F7" s="12">
        <f>'Sales'!H25</f>
        <v>-0.714279835390947</v>
      </c>
    </row>
    <row r="8" ht="20.05" customHeight="1">
      <c r="B8" t="s" s="10">
        <v>7</v>
      </c>
      <c r="C8" s="15">
        <f>C7*C6</f>
        <v>-659.12</v>
      </c>
      <c r="D8" s="16">
        <f>D7*D6</f>
        <v>-746.993851851852</v>
      </c>
      <c r="E8" s="16">
        <f>E7*E6</f>
        <v>-779.843474692202</v>
      </c>
      <c r="F8" s="16">
        <f>F7*F6</f>
        <v>-987.899369074075</v>
      </c>
    </row>
    <row r="9" ht="20.05" customHeight="1">
      <c r="B9" t="s" s="10">
        <v>8</v>
      </c>
      <c r="C9" s="15">
        <f>C6+C8</f>
        <v>336.88</v>
      </c>
      <c r="D9" s="16">
        <f>D6+D8</f>
        <v>298.806148148148</v>
      </c>
      <c r="E9" s="16">
        <f>E6+E8</f>
        <v>422.826525307798</v>
      </c>
      <c r="F9" s="16">
        <f>F6+F8</f>
        <v>395.171130925925</v>
      </c>
    </row>
    <row r="10" ht="20.05" customHeight="1">
      <c r="B10" t="s" s="10">
        <v>9</v>
      </c>
      <c r="C10" s="15">
        <f>AVERAGE('Cashflow '!F31)</f>
        <v>-40.1</v>
      </c>
      <c r="D10" s="16">
        <f>C10</f>
        <v>-40.1</v>
      </c>
      <c r="E10" s="16">
        <f>D10</f>
        <v>-40.1</v>
      </c>
      <c r="F10" s="16">
        <f>E10</f>
        <v>-40.1</v>
      </c>
    </row>
    <row r="11" ht="20.05" customHeight="1">
      <c r="B11" t="s" s="10">
        <v>10</v>
      </c>
      <c r="C11" s="15">
        <f>C12+C13+C15</f>
        <v>-294.403</v>
      </c>
      <c r="D11" s="16">
        <f>D12+D13+D15</f>
        <v>-258.706148148148</v>
      </c>
      <c r="E11" s="16">
        <f>E12+E13+E15</f>
        <v>-366.381374289406</v>
      </c>
      <c r="F11" s="16">
        <f>F12+F13+F15</f>
        <v>-339.685973787036</v>
      </c>
    </row>
    <row r="12" ht="20.05" customHeight="1">
      <c r="B12" t="s" s="10">
        <v>11</v>
      </c>
      <c r="C12" s="15">
        <f>-'Balance sheet'!G31/20</f>
        <v>-29.9</v>
      </c>
      <c r="D12" s="16">
        <f>-C26/20</f>
        <v>-28.405</v>
      </c>
      <c r="E12" s="16">
        <f>-D26/20</f>
        <v>-26.98475</v>
      </c>
      <c r="F12" s="16">
        <f>-E26/20</f>
        <v>-25.6355125</v>
      </c>
    </row>
    <row r="13" ht="20.05" customHeight="1">
      <c r="B13" t="s" s="10">
        <v>12</v>
      </c>
      <c r="C13" s="15">
        <f>IF(C21&gt;0,-C21*0.85,0)</f>
        <v>-264.503</v>
      </c>
      <c r="D13" s="16">
        <f>IF(D21&gt;0,-D21*0.85,0)</f>
        <v>-232.140225925926</v>
      </c>
      <c r="E13" s="16">
        <f>IF(E21&gt;0,-E21*0.85,0)</f>
        <v>-337.557546511628</v>
      </c>
      <c r="F13" s="16">
        <f>IF(F21&gt;0,-F21*0.85,0)</f>
        <v>-314.050461287036</v>
      </c>
    </row>
    <row r="14" ht="20.05" customHeight="1">
      <c r="B14" t="s" s="10">
        <v>13</v>
      </c>
      <c r="C14" s="15">
        <f>C9+C10+C12+C13</f>
        <v>2.377</v>
      </c>
      <c r="D14" s="16">
        <f>D9+D10+D12+D13</f>
        <v>-1.839077777778</v>
      </c>
      <c r="E14" s="16">
        <f>E9+E10+E12+E13</f>
        <v>18.184228796170</v>
      </c>
      <c r="F14" s="16">
        <f>F9+F10+F12+F13</f>
        <v>15.385157138889</v>
      </c>
    </row>
    <row r="15" ht="20.05" customHeight="1">
      <c r="B15" t="s" s="10">
        <v>14</v>
      </c>
      <c r="C15" s="15">
        <f>-MIN(0,C14)</f>
        <v>0</v>
      </c>
      <c r="D15" s="16">
        <f>-MIN(C27,D14)</f>
        <v>1.839077777778</v>
      </c>
      <c r="E15" s="16">
        <f>-MIN(D27,E14)</f>
        <v>-1.839077777778</v>
      </c>
      <c r="F15" s="16">
        <f>-MIN(E27,F14)</f>
        <v>0</v>
      </c>
    </row>
    <row r="16" ht="20.05" customHeight="1">
      <c r="B16" t="s" s="10">
        <v>15</v>
      </c>
      <c r="C16" s="15">
        <f>'Balance sheet'!C31</f>
        <v>1082</v>
      </c>
      <c r="D16" s="16">
        <f>C18</f>
        <v>1084.377</v>
      </c>
      <c r="E16" s="16">
        <f>D18</f>
        <v>1084.377</v>
      </c>
      <c r="F16" s="16">
        <f>E18</f>
        <v>1100.722151018390</v>
      </c>
    </row>
    <row r="17" ht="20.05" customHeight="1">
      <c r="B17" t="s" s="10">
        <v>16</v>
      </c>
      <c r="C17" s="15">
        <f>C9+C10+C11</f>
        <v>2.377</v>
      </c>
      <c r="D17" s="16">
        <f>D9+D10+D11</f>
        <v>0</v>
      </c>
      <c r="E17" s="16">
        <f>E9+E10+E11</f>
        <v>16.345151018392</v>
      </c>
      <c r="F17" s="16">
        <f>F9+F10+F11</f>
        <v>15.385157138889</v>
      </c>
    </row>
    <row r="18" ht="20.05" customHeight="1">
      <c r="B18" t="s" s="10">
        <v>17</v>
      </c>
      <c r="C18" s="15">
        <f>C16+C17</f>
        <v>1084.377</v>
      </c>
      <c r="D18" s="16">
        <f>D16+D17</f>
        <v>1084.377</v>
      </c>
      <c r="E18" s="16">
        <f>E16+E17</f>
        <v>1100.722151018390</v>
      </c>
      <c r="F18" s="16">
        <f>F16+F17</f>
        <v>1116.107308157280</v>
      </c>
    </row>
    <row r="19" ht="20.05" customHeight="1">
      <c r="B19" t="s" s="17">
        <v>18</v>
      </c>
      <c r="C19" s="18"/>
      <c r="D19" s="19"/>
      <c r="E19" s="19"/>
      <c r="F19" s="20"/>
    </row>
    <row r="20" ht="20.05" customHeight="1">
      <c r="B20" t="s" s="10">
        <v>19</v>
      </c>
      <c r="C20" s="15">
        <f>-AVERAGE('Sales'!E31)</f>
        <v>-25.7</v>
      </c>
      <c r="D20" s="16">
        <f>C20</f>
        <v>-25.7</v>
      </c>
      <c r="E20" s="16">
        <f>D20</f>
        <v>-25.7</v>
      </c>
      <c r="F20" s="16">
        <f>E20</f>
        <v>-25.7</v>
      </c>
    </row>
    <row r="21" ht="20.05" customHeight="1">
      <c r="B21" t="s" s="10">
        <v>20</v>
      </c>
      <c r="C21" s="15">
        <f>C6+C8+C20</f>
        <v>311.18</v>
      </c>
      <c r="D21" s="16">
        <f>D6+D8+D20</f>
        <v>273.106148148148</v>
      </c>
      <c r="E21" s="16">
        <f>E6+E8+E20</f>
        <v>397.126525307798</v>
      </c>
      <c r="F21" s="16">
        <f>F6+F8+F20</f>
        <v>369.471130925925</v>
      </c>
    </row>
    <row r="22" ht="20.05" customHeight="1">
      <c r="B22" t="s" s="17">
        <v>21</v>
      </c>
      <c r="C22" s="18"/>
      <c r="D22" s="19"/>
      <c r="E22" s="19"/>
      <c r="F22" s="16"/>
    </row>
    <row r="23" ht="20.05" customHeight="1">
      <c r="B23" t="s" s="10">
        <v>22</v>
      </c>
      <c r="C23" s="15">
        <f>'Balance sheet'!F31+'Balance sheet'!E31-C10</f>
        <v>3798.1</v>
      </c>
      <c r="D23" s="16">
        <f>C23-D10</f>
        <v>3838.2</v>
      </c>
      <c r="E23" s="16">
        <f>D23-E10</f>
        <v>3878.3</v>
      </c>
      <c r="F23" s="16">
        <f>E23-F10</f>
        <v>3918.4</v>
      </c>
    </row>
    <row r="24" ht="20.05" customHeight="1">
      <c r="B24" t="s" s="10">
        <v>23</v>
      </c>
      <c r="C24" s="15">
        <f>'Balance sheet'!F31-C20</f>
        <v>796.7</v>
      </c>
      <c r="D24" s="16">
        <f>C24-D20</f>
        <v>822.4</v>
      </c>
      <c r="E24" s="16">
        <f>D24-E20</f>
        <v>848.1</v>
      </c>
      <c r="F24" s="16">
        <f>E24-F20</f>
        <v>873.8</v>
      </c>
    </row>
    <row r="25" ht="20.05" customHeight="1">
      <c r="B25" t="s" s="10">
        <v>24</v>
      </c>
      <c r="C25" s="15">
        <f>C23-C24</f>
        <v>3001.4</v>
      </c>
      <c r="D25" s="16">
        <f>D23-D24</f>
        <v>3015.8</v>
      </c>
      <c r="E25" s="16">
        <f>E23-E24</f>
        <v>3030.2</v>
      </c>
      <c r="F25" s="16">
        <f>F23-F24</f>
        <v>3044.6</v>
      </c>
    </row>
    <row r="26" ht="20.05" customHeight="1">
      <c r="B26" t="s" s="10">
        <v>11</v>
      </c>
      <c r="C26" s="15">
        <f>'Balance sheet'!G31+C12</f>
        <v>568.1</v>
      </c>
      <c r="D26" s="16">
        <f>C26+D12</f>
        <v>539.6950000000001</v>
      </c>
      <c r="E26" s="16">
        <f>D26+E12</f>
        <v>512.71025</v>
      </c>
      <c r="F26" s="16">
        <f>E26+F12</f>
        <v>487.0747375</v>
      </c>
    </row>
    <row r="27" ht="20.05" customHeight="1">
      <c r="B27" t="s" s="10">
        <v>14</v>
      </c>
      <c r="C27" s="15">
        <f>C15</f>
        <v>0</v>
      </c>
      <c r="D27" s="16">
        <f>C27+D15</f>
        <v>1.839077777778</v>
      </c>
      <c r="E27" s="16">
        <f>D27+E15</f>
        <v>0</v>
      </c>
      <c r="F27" s="16">
        <f>E27+F15</f>
        <v>0</v>
      </c>
    </row>
    <row r="28" ht="20.05" customHeight="1">
      <c r="B28" t="s" s="10">
        <v>25</v>
      </c>
      <c r="C28" s="15">
        <f>'Balance sheet'!H31+C21+C13</f>
        <v>3517.677</v>
      </c>
      <c r="D28" s="16">
        <f>C28+D21+D13</f>
        <v>3558.642922222220</v>
      </c>
      <c r="E28" s="16">
        <f>D28+E21+E13</f>
        <v>3618.211901018390</v>
      </c>
      <c r="F28" s="16">
        <f>E28+F21+F13</f>
        <v>3673.632570657280</v>
      </c>
    </row>
    <row r="29" ht="20.05" customHeight="1">
      <c r="B29" t="s" s="10">
        <v>26</v>
      </c>
      <c r="C29" s="15">
        <f>C26+C27+C28-C18-C25</f>
        <v>0</v>
      </c>
      <c r="D29" s="16">
        <f>D26+D27+D28-D18-D25</f>
        <v>-2e-12</v>
      </c>
      <c r="E29" s="16">
        <f>E26+E27+E28-E18-E25</f>
        <v>0</v>
      </c>
      <c r="F29" s="16">
        <f>F26+F27+F28-F18-F25</f>
        <v>0</v>
      </c>
    </row>
    <row r="30" ht="20.05" customHeight="1">
      <c r="B30" t="s" s="10">
        <v>27</v>
      </c>
      <c r="C30" s="15">
        <f>C18-C26-C27</f>
        <v>516.277</v>
      </c>
      <c r="D30" s="16">
        <f>D18-D26-D27</f>
        <v>542.842922222222</v>
      </c>
      <c r="E30" s="16">
        <f>E18-E26-E27</f>
        <v>588.0119010183899</v>
      </c>
      <c r="F30" s="16">
        <f>F18-F26-F27</f>
        <v>629.032570657280</v>
      </c>
    </row>
    <row r="31" ht="20.05" customHeight="1">
      <c r="B31" t="s" s="17">
        <v>28</v>
      </c>
      <c r="C31" s="15"/>
      <c r="D31" s="16"/>
      <c r="E31" s="16"/>
      <c r="F31" s="16"/>
    </row>
    <row r="32" ht="20.05" customHeight="1">
      <c r="B32" t="s" s="10">
        <v>29</v>
      </c>
      <c r="C32" s="15">
        <f>'Cashflow '!L31-C11</f>
        <v>4544.953</v>
      </c>
      <c r="D32" s="16">
        <f>C32-D11</f>
        <v>4803.659148148150</v>
      </c>
      <c r="E32" s="16">
        <f>D32-E11</f>
        <v>5170.040522437560</v>
      </c>
      <c r="F32" s="16">
        <f>E32-F11</f>
        <v>5509.7264962246</v>
      </c>
    </row>
    <row r="33" ht="20.05" customHeight="1">
      <c r="B33" t="s" s="10">
        <v>30</v>
      </c>
      <c r="C33" s="15"/>
      <c r="D33" s="16"/>
      <c r="E33" s="16"/>
      <c r="F33" s="16">
        <v>27840</v>
      </c>
    </row>
    <row r="34" ht="20.05" customHeight="1">
      <c r="B34" t="s" s="10">
        <v>31</v>
      </c>
      <c r="C34" s="15"/>
      <c r="D34" s="16"/>
      <c r="E34" s="16"/>
      <c r="F34" s="21">
        <f>F33/(F18+F25)</f>
        <v>6.69117001943834</v>
      </c>
    </row>
    <row r="35" ht="20.05" customHeight="1">
      <c r="B35" t="s" s="10">
        <v>32</v>
      </c>
      <c r="C35" s="15"/>
      <c r="D35" s="16"/>
      <c r="E35" s="16"/>
      <c r="F35" s="12">
        <f>-(C13+D13+E13+F13)/F33</f>
        <v>0.0412446563837856</v>
      </c>
    </row>
    <row r="36" ht="20.05" customHeight="1">
      <c r="B36" t="s" s="10">
        <v>3</v>
      </c>
      <c r="C36" s="15"/>
      <c r="D36" s="16"/>
      <c r="E36" s="16"/>
      <c r="F36" s="16">
        <f>SUM(C9:F10)</f>
        <v>1293.283804381870</v>
      </c>
    </row>
    <row r="37" ht="20.05" customHeight="1">
      <c r="B37" t="s" s="10">
        <v>33</v>
      </c>
      <c r="C37" s="15"/>
      <c r="D37" s="16"/>
      <c r="E37" s="16"/>
      <c r="F37" s="21">
        <f>'Balance sheet'!E31/F36</f>
        <v>2.30962453088759</v>
      </c>
    </row>
    <row r="38" ht="20.05" customHeight="1">
      <c r="B38" t="s" s="10">
        <v>28</v>
      </c>
      <c r="C38" s="15"/>
      <c r="D38" s="16"/>
      <c r="E38" s="16"/>
      <c r="F38" s="16">
        <f>F33/F36</f>
        <v>21.5265975694378</v>
      </c>
    </row>
    <row r="39" ht="20.05" customHeight="1">
      <c r="B39" t="s" s="10">
        <v>34</v>
      </c>
      <c r="C39" s="15"/>
      <c r="D39" s="16"/>
      <c r="E39" s="16"/>
      <c r="F39" s="16">
        <v>27</v>
      </c>
    </row>
    <row r="40" ht="20.05" customHeight="1">
      <c r="B40" t="s" s="10">
        <v>35</v>
      </c>
      <c r="C40" s="15"/>
      <c r="D40" s="16"/>
      <c r="E40" s="16"/>
      <c r="F40" s="16">
        <f>F36*F39</f>
        <v>34918.6627183105</v>
      </c>
    </row>
    <row r="41" ht="20.05" customHeight="1">
      <c r="B41" t="s" s="10">
        <v>36</v>
      </c>
      <c r="C41" s="15"/>
      <c r="D41" s="16"/>
      <c r="E41" s="16"/>
      <c r="F41" s="16">
        <f>F33/F43</f>
        <v>29.7754010695187</v>
      </c>
    </row>
    <row r="42" ht="20.05" customHeight="1">
      <c r="B42" t="s" s="10">
        <v>37</v>
      </c>
      <c r="C42" s="15"/>
      <c r="D42" s="16"/>
      <c r="E42" s="16"/>
      <c r="F42" s="16">
        <f>F40/F41</f>
        <v>1172.735260115670</v>
      </c>
    </row>
    <row r="43" ht="20.05" customHeight="1">
      <c r="B43" t="s" s="10">
        <v>38</v>
      </c>
      <c r="C43" s="15"/>
      <c r="D43" s="16"/>
      <c r="E43" s="16"/>
      <c r="F43" s="16">
        <f>'Share price'!C20</f>
        <v>935</v>
      </c>
    </row>
    <row r="44" ht="20.05" customHeight="1">
      <c r="B44" t="s" s="10">
        <v>39</v>
      </c>
      <c r="C44" s="15"/>
      <c r="D44" s="16"/>
      <c r="E44" s="16"/>
      <c r="F44" s="12">
        <f>F42/F43-1</f>
        <v>0.254262310284139</v>
      </c>
    </row>
    <row r="45" ht="20.05" customHeight="1">
      <c r="B45" t="s" s="10">
        <v>40</v>
      </c>
      <c r="C45" s="15"/>
      <c r="D45" s="16"/>
      <c r="E45" s="16"/>
      <c r="F45" s="12">
        <f>'Sales'!C31/'Sales'!C27-1</f>
        <v>0.154702281580412</v>
      </c>
    </row>
    <row r="46" ht="20.05" customHeight="1">
      <c r="B46" t="s" s="10">
        <v>41</v>
      </c>
      <c r="C46" s="15"/>
      <c r="D46" s="16"/>
      <c r="E46" s="16"/>
      <c r="F46" s="12">
        <f>('Sales'!D23+'Sales'!D31+'Sales'!D24+'Sales'!D25+'Sales'!D26+'Sales'!D27+'Sales'!D28+'Sales'!D29+'Sales'!D30)/('Sales'!C23+'Sales'!C24+'Sales'!C25+'Sales'!C26+'Sales'!C27+'Sales'!C28+'Sales'!C29+'Sales'!C31+'Sales'!C30)-1</f>
        <v>-0.0116826083811545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49219" style="22" customWidth="1"/>
    <col min="2" max="2" width="10.3984" style="22" customWidth="1"/>
    <col min="3" max="10" width="10.1719" style="22" customWidth="1"/>
    <col min="11" max="16384" width="16.3516" style="22" customWidth="1"/>
  </cols>
  <sheetData>
    <row r="1" ht="27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20</v>
      </c>
      <c r="G3" t="s" s="5">
        <v>42</v>
      </c>
      <c r="H3" t="s" s="5">
        <v>43</v>
      </c>
      <c r="I3" t="s" s="5">
        <v>44</v>
      </c>
      <c r="J3" t="s" s="5">
        <v>44</v>
      </c>
    </row>
    <row r="4" ht="20.25" customHeight="1">
      <c r="B4" s="23">
        <v>2015</v>
      </c>
      <c r="C4" s="24">
        <v>509.42</v>
      </c>
      <c r="D4" s="8"/>
      <c r="E4" s="25">
        <v>17</v>
      </c>
      <c r="F4" s="25">
        <v>118.03</v>
      </c>
      <c r="G4" s="26"/>
      <c r="H4" s="9">
        <f>(E4+F4-C4)/C4</f>
        <v>-0.734933846335048</v>
      </c>
      <c r="I4" s="9"/>
      <c r="J4" s="9">
        <f>('Cashflow '!E4-'Cashflow '!C4)/'Cashflow '!C4</f>
        <v>-0.746050096339114</v>
      </c>
    </row>
    <row r="5" ht="20.05" customHeight="1">
      <c r="B5" s="27"/>
      <c r="C5" s="13">
        <v>631.6900000000001</v>
      </c>
      <c r="D5" s="20"/>
      <c r="E5" s="14">
        <v>17</v>
      </c>
      <c r="F5" s="14">
        <v>128.09</v>
      </c>
      <c r="G5" s="12">
        <f>C5/C4-1</f>
        <v>0.24001805975423</v>
      </c>
      <c r="H5" s="12">
        <f>(E5+F5-C5)/C5</f>
        <v>-0.770314553024427</v>
      </c>
      <c r="I5" s="12"/>
      <c r="J5" s="12">
        <f>('Cashflow '!E5-'Cashflow '!C5)/'Cashflow '!C5</f>
        <v>-0.823413674372848</v>
      </c>
    </row>
    <row r="6" ht="20.05" customHeight="1">
      <c r="B6" s="27"/>
      <c r="C6" s="13">
        <v>509.2</v>
      </c>
      <c r="D6" s="20"/>
      <c r="E6" s="14">
        <v>17</v>
      </c>
      <c r="F6" s="14">
        <v>79.91</v>
      </c>
      <c r="G6" s="12">
        <f>C6/C5-1</f>
        <v>-0.193908404438886</v>
      </c>
      <c r="H6" s="12">
        <f>(E6+F6-C6)/C6</f>
        <v>-0.809681853888452</v>
      </c>
      <c r="I6" s="12"/>
      <c r="J6" s="12">
        <f>('Cashflow '!E6-'Cashflow '!C6)/'Cashflow '!C6</f>
        <v>-0.908754089314572</v>
      </c>
    </row>
    <row r="7" ht="20.05" customHeight="1">
      <c r="B7" s="27"/>
      <c r="C7" s="13">
        <v>568.23</v>
      </c>
      <c r="D7" s="20"/>
      <c r="E7" s="14">
        <v>18</v>
      </c>
      <c r="F7" s="14">
        <v>111.44</v>
      </c>
      <c r="G7" s="12">
        <f>C7/C6-1</f>
        <v>0.115926944226237</v>
      </c>
      <c r="H7" s="12">
        <f>(E7+F7-C7)/C7</f>
        <v>-0.772204917023036</v>
      </c>
      <c r="I7" s="12"/>
      <c r="J7" s="12">
        <f>('Cashflow '!E7-'Cashflow '!C7)/'Cashflow '!C7</f>
        <v>-0.74806334407349</v>
      </c>
    </row>
    <row r="8" ht="20.05" customHeight="1">
      <c r="B8" s="28">
        <v>2016</v>
      </c>
      <c r="C8" s="13">
        <v>608.24</v>
      </c>
      <c r="D8" s="20"/>
      <c r="E8" s="14">
        <v>18</v>
      </c>
      <c r="F8" s="14">
        <v>125.41</v>
      </c>
      <c r="G8" s="12">
        <f>C8/C7-1</f>
        <v>0.0704116290938528</v>
      </c>
      <c r="H8" s="12">
        <f>(E8+F8-C8)/C8</f>
        <v>-0.764221359989478</v>
      </c>
      <c r="I8" s="12">
        <f>AVERAGE(J5:J8)</f>
        <v>-0.85505963257207</v>
      </c>
      <c r="J8" s="12">
        <f>('Cashflow '!E8-'Cashflow '!C8)/'Cashflow '!C8</f>
        <v>-0.940007422527371</v>
      </c>
    </row>
    <row r="9" ht="20.05" customHeight="1">
      <c r="B9" s="27"/>
      <c r="C9" s="13">
        <v>688.76</v>
      </c>
      <c r="D9" s="20"/>
      <c r="E9" s="14">
        <v>21</v>
      </c>
      <c r="F9" s="14">
        <v>139.74</v>
      </c>
      <c r="G9" s="12">
        <f>C9/C8-1</f>
        <v>0.132381954491648</v>
      </c>
      <c r="H9" s="12">
        <f>(E9+F9-C9)/C9</f>
        <v>-0.766624078053313</v>
      </c>
      <c r="I9" s="12">
        <f>AVERAGE(J6:J9)</f>
        <v>-0.858451225689849</v>
      </c>
      <c r="J9" s="12">
        <f>('Cashflow '!E9-'Cashflow '!C9)/'Cashflow '!C9</f>
        <v>-0.836980046843962</v>
      </c>
    </row>
    <row r="10" ht="20.05" customHeight="1">
      <c r="B10" s="27"/>
      <c r="C10" s="13">
        <v>594.35</v>
      </c>
      <c r="D10" s="20"/>
      <c r="E10" s="14">
        <v>22</v>
      </c>
      <c r="F10" s="14">
        <v>86.78</v>
      </c>
      <c r="G10" s="12">
        <f>C10/C9-1</f>
        <v>-0.137072420001162</v>
      </c>
      <c r="H10" s="12">
        <f>(E10+F10-C10)/C10</f>
        <v>-0.81697652898124</v>
      </c>
      <c r="I10" s="12">
        <f>AVERAGE(J7:J10)</f>
        <v>-0.83717590116695</v>
      </c>
      <c r="J10" s="12">
        <f>('Cashflow '!E10-'Cashflow '!C10)/'Cashflow '!C10</f>
        <v>-0.823652791222975</v>
      </c>
    </row>
    <row r="11" ht="20.05" customHeight="1">
      <c r="B11" s="27"/>
      <c r="C11" s="13">
        <v>670.46</v>
      </c>
      <c r="D11" s="20"/>
      <c r="E11" s="14">
        <v>-8</v>
      </c>
      <c r="F11" s="14">
        <v>128.6</v>
      </c>
      <c r="G11" s="12">
        <f>C11/C10-1</f>
        <v>0.128055859342138</v>
      </c>
      <c r="H11" s="12">
        <f>(E11+F11-C11)/C11</f>
        <v>-0.820123497300361</v>
      </c>
      <c r="I11" s="12">
        <f>AVERAGE(J8:J11)</f>
        <v>-0.817834429323955</v>
      </c>
      <c r="J11" s="12">
        <f>('Cashflow '!E11-'Cashflow '!C11)/'Cashflow '!C11</f>
        <v>-0.670697456701513</v>
      </c>
    </row>
    <row r="12" ht="20.05" customHeight="1">
      <c r="B12" s="28">
        <v>2017</v>
      </c>
      <c r="C12" s="13">
        <v>603.48</v>
      </c>
      <c r="D12" s="20"/>
      <c r="E12" s="14">
        <v>16</v>
      </c>
      <c r="F12" s="14">
        <v>127.55</v>
      </c>
      <c r="G12" s="12">
        <f>C12/C11-1</f>
        <v>-0.0999015601229007</v>
      </c>
      <c r="H12" s="12">
        <f>(E12+F12-C12)/C12</f>
        <v>-0.76212964804136</v>
      </c>
      <c r="I12" s="12">
        <f>AVERAGE(J9:J12)</f>
        <v>-0.814601342302152</v>
      </c>
      <c r="J12" s="12">
        <f>('Cashflow '!E12-'Cashflow '!C12)/'Cashflow '!C12</f>
        <v>-0.927075074440157</v>
      </c>
    </row>
    <row r="13" ht="20.05" customHeight="1">
      <c r="B13" s="27"/>
      <c r="C13" s="13">
        <v>605.71</v>
      </c>
      <c r="D13" s="20"/>
      <c r="E13" s="14">
        <v>14</v>
      </c>
      <c r="F13" s="14">
        <v>117.35</v>
      </c>
      <c r="G13" s="12">
        <f>C13/C12-1</f>
        <v>0.00369523430768211</v>
      </c>
      <c r="H13" s="12">
        <f>(E13+F13-C13)/C13</f>
        <v>-0.783147050568754</v>
      </c>
      <c r="I13" s="12">
        <f>AVERAGE(J10:J13)</f>
        <v>-0.779730416779606</v>
      </c>
      <c r="J13" s="12">
        <f>('Cashflow '!E13-'Cashflow '!C13)/'Cashflow '!C13</f>
        <v>-0.69749634475378</v>
      </c>
    </row>
    <row r="14" ht="20.05" customHeight="1">
      <c r="B14" s="27"/>
      <c r="C14" s="13">
        <v>648.29</v>
      </c>
      <c r="D14" s="20"/>
      <c r="E14" s="14">
        <v>15</v>
      </c>
      <c r="F14" s="14">
        <v>135.48</v>
      </c>
      <c r="G14" s="12">
        <f>C14/C13-1</f>
        <v>0.07029766720047551</v>
      </c>
      <c r="H14" s="12">
        <f>(E14+F14-C14)/C14</f>
        <v>-0.7678816579000139</v>
      </c>
      <c r="I14" s="12">
        <f>AVERAGE(J11:J14)</f>
        <v>-0.731231250732732</v>
      </c>
      <c r="J14" s="12">
        <f>('Cashflow '!E14-'Cashflow '!C14)/'Cashflow '!C14</f>
        <v>-0.629656127035476</v>
      </c>
    </row>
    <row r="15" ht="20.05" customHeight="1">
      <c r="B15" s="27"/>
      <c r="C15" s="13">
        <v>716.362</v>
      </c>
      <c r="D15" s="20"/>
      <c r="E15" s="14">
        <v>16</v>
      </c>
      <c r="F15" s="14">
        <v>153.419</v>
      </c>
      <c r="G15" s="12">
        <f>C15/C14-1</f>
        <v>0.105002390905305</v>
      </c>
      <c r="H15" s="12">
        <f>(E15+F15-C15)/C15</f>
        <v>-0.7635008557126149</v>
      </c>
      <c r="I15" s="12">
        <f>AVERAGE(J12:J15)</f>
        <v>-0.752058925121469</v>
      </c>
      <c r="J15" s="12">
        <f>('Cashflow '!E15-'Cashflow '!C15)/'Cashflow '!C15</f>
        <v>-0.7540081542564609</v>
      </c>
    </row>
    <row r="16" ht="20.05" customHeight="1">
      <c r="B16" s="28">
        <v>2018</v>
      </c>
      <c r="C16" s="13">
        <v>620.846</v>
      </c>
      <c r="D16" s="20"/>
      <c r="E16" s="14">
        <v>15</v>
      </c>
      <c r="F16" s="14">
        <v>169.082</v>
      </c>
      <c r="G16" s="12">
        <f>C16/C15-1</f>
        <v>-0.133334822338427</v>
      </c>
      <c r="H16" s="12">
        <f>(E16+F16-C16)/C16</f>
        <v>-0.70349812997104</v>
      </c>
      <c r="I16" s="12">
        <f>AVERAGE(J13:J16)</f>
        <v>-0.710719738226352</v>
      </c>
      <c r="J16" s="12">
        <f>('Cashflow '!E16-'Cashflow '!C16)/'Cashflow '!C16</f>
        <v>-0.76171832685969</v>
      </c>
    </row>
    <row r="17" ht="20.05" customHeight="1">
      <c r="B17" s="27"/>
      <c r="C17" s="13">
        <v>653.434</v>
      </c>
      <c r="D17" s="20"/>
      <c r="E17" s="14">
        <v>16</v>
      </c>
      <c r="F17" s="14">
        <v>122.688</v>
      </c>
      <c r="G17" s="12">
        <f>C17/C16-1</f>
        <v>0.0524896673249083</v>
      </c>
      <c r="H17" s="12">
        <f>(E17+F17-C17)/C17</f>
        <v>-0.787755152012292</v>
      </c>
      <c r="I17" s="12">
        <f>AVERAGE(J14:J17)</f>
        <v>-0.720251244524337</v>
      </c>
      <c r="J17" s="12">
        <f>('Cashflow '!E17-'Cashflow '!C17)/'Cashflow '!C17</f>
        <v>-0.7356223699457221</v>
      </c>
    </row>
    <row r="18" ht="20.05" customHeight="1">
      <c r="B18" s="27"/>
      <c r="C18" s="13">
        <v>669.9400000000001</v>
      </c>
      <c r="D18" s="20"/>
      <c r="E18" s="14">
        <v>15</v>
      </c>
      <c r="F18" s="14">
        <v>188.34</v>
      </c>
      <c r="G18" s="12">
        <f>C18/C17-1</f>
        <v>0.0252603935516058</v>
      </c>
      <c r="H18" s="12">
        <f>(E18+F18-C18)/C18</f>
        <v>-0.696480281816282</v>
      </c>
      <c r="I18" s="12">
        <f>AVERAGE(J15:J18)</f>
        <v>-0.718858155173845</v>
      </c>
      <c r="J18" s="12">
        <f>('Cashflow '!E18-'Cashflow '!C18)/'Cashflow '!C18</f>
        <v>-0.624083769633508</v>
      </c>
    </row>
    <row r="19" ht="20.05" customHeight="1">
      <c r="B19" s="27"/>
      <c r="C19" s="13">
        <v>819.0700000000001</v>
      </c>
      <c r="D19" s="20"/>
      <c r="E19" s="14">
        <v>16</v>
      </c>
      <c r="F19" s="14">
        <v>183.739</v>
      </c>
      <c r="G19" s="12">
        <f>C19/C18-1</f>
        <v>0.222602024061856</v>
      </c>
      <c r="H19" s="12">
        <f>(E19+F19-C19)/C19</f>
        <v>-0.7561392799150261</v>
      </c>
      <c r="I19" s="12">
        <f>AVERAGE(J16:J19)</f>
        <v>-0.702015970685427</v>
      </c>
      <c r="J19" s="12">
        <f>('Cashflow '!E19-'Cashflow '!C19)/'Cashflow '!C19</f>
        <v>-0.686639416302786</v>
      </c>
    </row>
    <row r="20" ht="20.05" customHeight="1">
      <c r="B20" s="28">
        <v>2019</v>
      </c>
      <c r="C20" s="13">
        <v>713.67</v>
      </c>
      <c r="D20" s="20"/>
      <c r="E20" s="14">
        <v>18</v>
      </c>
      <c r="F20" s="14">
        <v>208.868</v>
      </c>
      <c r="G20" s="12">
        <f>C20/C19-1</f>
        <v>-0.128682530186675</v>
      </c>
      <c r="H20" s="12">
        <f>(E20+F20-C20)/C20</f>
        <v>-0.682110779491922</v>
      </c>
      <c r="I20" s="12">
        <f>AVERAGE(J17:J20)</f>
        <v>-0.705529523298654</v>
      </c>
      <c r="J20" s="12">
        <f>('Cashflow '!E20-'Cashflow '!C20)/'Cashflow '!C20</f>
        <v>-0.775772537312599</v>
      </c>
    </row>
    <row r="21" ht="20.05" customHeight="1">
      <c r="B21" s="27"/>
      <c r="C21" s="13">
        <v>696.33</v>
      </c>
      <c r="D21" s="20"/>
      <c r="E21" s="14">
        <v>24.1</v>
      </c>
      <c r="F21" s="14">
        <v>167.242</v>
      </c>
      <c r="G21" s="12">
        <f>C21/C20-1</f>
        <v>-0.0242969439656984</v>
      </c>
      <c r="H21" s="12">
        <f>(E21+F21-C21)/C21</f>
        <v>-0.725213619979033</v>
      </c>
      <c r="I21" s="12">
        <f>AVERAGE(J18:J21)</f>
        <v>-0.711478982286132</v>
      </c>
      <c r="J21" s="12">
        <f>('Cashflow '!E21-'Cashflow '!C21)/'Cashflow '!C21</f>
        <v>-0.759420205895635</v>
      </c>
    </row>
    <row r="22" ht="20.05" customHeight="1">
      <c r="B22" s="27"/>
      <c r="C22" s="13">
        <v>718.6</v>
      </c>
      <c r="D22" s="20"/>
      <c r="E22" s="14">
        <v>20.9</v>
      </c>
      <c r="F22" s="14">
        <v>202.335</v>
      </c>
      <c r="G22" s="12">
        <f>C22/C21-1</f>
        <v>0.0319819625752158</v>
      </c>
      <c r="H22" s="12">
        <f>(E22+F22-C22)/C22</f>
        <v>-0.689347342053994</v>
      </c>
      <c r="I22" s="12">
        <f>AVERAGE(J19:J22)</f>
        <v>-0.721715699785047</v>
      </c>
      <c r="J22" s="12">
        <f>('Cashflow '!E22-'Cashflow '!C22)/'Cashflow '!C22</f>
        <v>-0.665030639629167</v>
      </c>
    </row>
    <row r="23" ht="20.05" customHeight="1">
      <c r="B23" s="27"/>
      <c r="C23" s="13">
        <v>938.4</v>
      </c>
      <c r="D23" s="14">
        <v>860.0235</v>
      </c>
      <c r="E23" s="14">
        <v>24</v>
      </c>
      <c r="F23" s="14">
        <v>229.555</v>
      </c>
      <c r="G23" s="12">
        <f>C23/C22-1</f>
        <v>0.305872529919288</v>
      </c>
      <c r="H23" s="12">
        <f>(E23+F23-C23)/C23</f>
        <v>-0.729800724637681</v>
      </c>
      <c r="I23" s="12">
        <f>AVERAGE(J20:J23)</f>
        <v>-0.717322215702993</v>
      </c>
      <c r="J23" s="12">
        <f>('Cashflow '!E23-'Cashflow '!C23)/'Cashflow '!C23</f>
        <v>-0.669065479974571</v>
      </c>
    </row>
    <row r="24" ht="20.05" customHeight="1">
      <c r="B24" s="28">
        <v>2020</v>
      </c>
      <c r="C24" s="13">
        <v>731</v>
      </c>
      <c r="D24" s="14">
        <v>785.037</v>
      </c>
      <c r="E24" s="14">
        <v>25</v>
      </c>
      <c r="F24" s="14">
        <v>232</v>
      </c>
      <c r="G24" s="12">
        <f>C24/C23-1</f>
        <v>-0.221014492753623</v>
      </c>
      <c r="H24" s="12">
        <f>(E24+F24-C24)/C24</f>
        <v>-0.6484268125854989</v>
      </c>
      <c r="I24" s="12">
        <f>AVERAGE(J21:J24)</f>
        <v>-0.70361940180208</v>
      </c>
      <c r="J24" s="12">
        <f>('Cashflow '!E24-'Cashflow '!C24)/'Cashflow '!C24</f>
        <v>-0.720961281708945</v>
      </c>
    </row>
    <row r="25" ht="20.05" customHeight="1">
      <c r="B25" s="27"/>
      <c r="C25" s="13">
        <v>729</v>
      </c>
      <c r="D25" s="14">
        <v>710.2566</v>
      </c>
      <c r="E25" s="14">
        <v>26.5</v>
      </c>
      <c r="F25" s="14">
        <v>181.79</v>
      </c>
      <c r="G25" s="12">
        <f>C25/C24-1</f>
        <v>-0.0027359781121751</v>
      </c>
      <c r="H25" s="12">
        <f>(E25+F25-C25)/C25</f>
        <v>-0.714279835390947</v>
      </c>
      <c r="I25" s="12">
        <f>AVERAGE(J22:J25)</f>
        <v>-0.717904477716706</v>
      </c>
      <c r="J25" s="12">
        <f>('Cashflow '!E25-'Cashflow '!C25)/'Cashflow '!C25</f>
        <v>-0.8165605095541399</v>
      </c>
    </row>
    <row r="26" ht="20.05" customHeight="1">
      <c r="B26" s="27"/>
      <c r="C26" s="13">
        <v>797.2</v>
      </c>
      <c r="D26" s="14">
        <v>754.53</v>
      </c>
      <c r="E26" s="14">
        <f>77.6-SUM(E24:E25)</f>
        <v>26.1</v>
      </c>
      <c r="F26" s="14">
        <f>640.8-SUM(F24:F25)</f>
        <v>227.01</v>
      </c>
      <c r="G26" s="12">
        <f>C26/C25-1</f>
        <v>0.09355281207133059</v>
      </c>
      <c r="H26" s="12">
        <f>(E26+F26-C26)/C26</f>
        <v>-0.682501254390366</v>
      </c>
      <c r="I26" s="12">
        <f>AVERAGE(J23:J26)</f>
        <v>-0.708556030092458</v>
      </c>
      <c r="J26" s="12">
        <f>('Cashflow '!E26-'Cashflow '!C26)/'Cashflow '!C26</f>
        <v>-0.627636849132176</v>
      </c>
    </row>
    <row r="27" ht="20.05" customHeight="1">
      <c r="B27" s="27"/>
      <c r="C27" s="13">
        <f>3335.4-SUM(C24:C26)</f>
        <v>1078.2</v>
      </c>
      <c r="D27" s="14">
        <v>957.168</v>
      </c>
      <c r="E27" s="14">
        <f>103.8-SUM(E24:E26)</f>
        <v>26.2</v>
      </c>
      <c r="F27" s="14">
        <f>934-SUM(F24:F26)</f>
        <v>293.2</v>
      </c>
      <c r="G27" s="12">
        <f>C27/C26-1</f>
        <v>0.352483692925238</v>
      </c>
      <c r="H27" s="12">
        <f>(E27+F27-C27)/C27</f>
        <v>-0.703765535151178</v>
      </c>
      <c r="I27" s="12">
        <f>AVERAGE(J24:J27)</f>
        <v>-0.683571503495444</v>
      </c>
      <c r="J27" s="12">
        <f>('Cashflow '!E27-'Cashflow '!C27)/'Cashflow '!C27</f>
        <v>-0.569127373586516</v>
      </c>
    </row>
    <row r="28" ht="20.05" customHeight="1">
      <c r="B28" s="28">
        <v>2021</v>
      </c>
      <c r="C28" s="18">
        <v>793</v>
      </c>
      <c r="D28" s="14">
        <v>1024.29</v>
      </c>
      <c r="E28" s="14">
        <v>26</v>
      </c>
      <c r="F28" s="14">
        <v>269</v>
      </c>
      <c r="G28" s="12">
        <f>C28/C27-1</f>
        <v>-0.264514932294565</v>
      </c>
      <c r="H28" s="12">
        <f>(E28+F28-C28)/C28</f>
        <v>-0.627994955863808</v>
      </c>
      <c r="I28" s="12">
        <f>AVERAGE(J25:J28)</f>
        <v>-0.687842617579643</v>
      </c>
      <c r="J28" s="12">
        <f>('Cashflow '!E28-'Cashflow '!C28)/'Cashflow '!C28</f>
        <v>-0.738045738045738</v>
      </c>
    </row>
    <row r="29" ht="20.05" customHeight="1">
      <c r="B29" s="27"/>
      <c r="C29" s="13">
        <v>862</v>
      </c>
      <c r="D29" s="14">
        <v>808.86</v>
      </c>
      <c r="E29" s="14">
        <v>25</v>
      </c>
      <c r="F29" s="14">
        <v>233</v>
      </c>
      <c r="G29" s="12">
        <f>C29/C28-1</f>
        <v>0.0870113493064313</v>
      </c>
      <c r="H29" s="12">
        <f>(E29+F29-C29)/C29</f>
        <v>-0.700696055684455</v>
      </c>
      <c r="I29" s="12">
        <f>AVERAGE(J26:J29)</f>
        <v>-0.693196161077184</v>
      </c>
      <c r="J29" s="12">
        <f>('Cashflow '!E29-'Cashflow '!C29)/'Cashflow '!C29</f>
        <v>-0.837974683544304</v>
      </c>
    </row>
    <row r="30" ht="20.05" customHeight="1">
      <c r="B30" s="27"/>
      <c r="C30" s="13">
        <f>2776-C29-C28</f>
        <v>1121</v>
      </c>
      <c r="D30" s="14">
        <v>896.48</v>
      </c>
      <c r="E30" s="14">
        <f>77-E29-E28</f>
        <v>26</v>
      </c>
      <c r="F30" s="14">
        <f>865.5-F29-F28</f>
        <v>363.5</v>
      </c>
      <c r="G30" s="12">
        <f>C30/C29-1</f>
        <v>0.30046403712297</v>
      </c>
      <c r="H30" s="12">
        <f>(E30+F30-C30)/C30</f>
        <v>-0.652542372881356</v>
      </c>
      <c r="I30" s="12">
        <f>AVERAGE(J27:J30)</f>
        <v>-0.674870639781264</v>
      </c>
      <c r="J30" s="12">
        <f>('Cashflow '!E30-'Cashflow '!C30)/'Cashflow '!C30</f>
        <v>-0.554334763948498</v>
      </c>
    </row>
    <row r="31" ht="20.05" customHeight="1">
      <c r="B31" s="27"/>
      <c r="C31" s="13">
        <f>4021-SUM(C28:C30)</f>
        <v>1245</v>
      </c>
      <c r="D31" s="14">
        <v>1401.25</v>
      </c>
      <c r="E31" s="14">
        <f>102.7-SUM(E28:E30)</f>
        <v>25.7</v>
      </c>
      <c r="F31" s="14">
        <f>1260.9-SUM(F28:F30)</f>
        <v>395.4</v>
      </c>
      <c r="G31" s="12">
        <f>C31/C30-1</f>
        <v>0.110615521855486</v>
      </c>
      <c r="H31" s="12">
        <f>(E31+F31-C31)/C31</f>
        <v>-0.661767068273092</v>
      </c>
      <c r="I31" s="12">
        <f>AVERAGE(J28:J31)</f>
        <v>-0.71484613272775</v>
      </c>
      <c r="J31" s="12">
        <f>('Cashflow '!E31-'Cashflow '!C31)/'Cashflow '!C31</f>
        <v>-0.72902934537246</v>
      </c>
    </row>
    <row r="32" ht="20.05" customHeight="1">
      <c r="B32" s="28">
        <v>2022</v>
      </c>
      <c r="C32" s="13"/>
      <c r="D32" s="14">
        <f>'Model'!C6</f>
        <v>996</v>
      </c>
      <c r="E32" s="20"/>
      <c r="F32" s="20"/>
      <c r="G32" s="20"/>
      <c r="H32" s="12">
        <f>'Model'!C7</f>
        <v>-0.661767068273092</v>
      </c>
      <c r="I32" s="20"/>
      <c r="J32" s="20"/>
    </row>
    <row r="33" ht="20.05" customHeight="1">
      <c r="B33" s="27"/>
      <c r="C33" s="13"/>
      <c r="D33" s="14">
        <f>'Model'!D6</f>
        <v>1045.8</v>
      </c>
      <c r="E33" s="20"/>
      <c r="F33" s="20"/>
      <c r="G33" s="20"/>
      <c r="H33" s="20"/>
      <c r="I33" s="20"/>
      <c r="J33" s="20"/>
    </row>
    <row r="34" ht="20.05" customHeight="1">
      <c r="B34" s="27"/>
      <c r="C34" s="13"/>
      <c r="D34" s="14">
        <f>'Model'!E6</f>
        <v>1202.67</v>
      </c>
      <c r="E34" s="20"/>
      <c r="F34" s="20"/>
      <c r="G34" s="20"/>
      <c r="H34" s="20"/>
      <c r="I34" s="20"/>
      <c r="J34" s="20"/>
    </row>
    <row r="35" ht="20.05" customHeight="1">
      <c r="B35" s="27"/>
      <c r="C35" s="13"/>
      <c r="D35" s="14">
        <f>'Model'!F6</f>
        <v>1383.0705</v>
      </c>
      <c r="E35" s="20"/>
      <c r="F35" s="20"/>
      <c r="G35" s="20"/>
      <c r="H35" s="20"/>
      <c r="I35" s="20"/>
      <c r="J35" s="20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3594" style="29" customWidth="1"/>
    <col min="2" max="2" width="11.3281" style="29" customWidth="1"/>
    <col min="3" max="3" width="12.5234" style="29" customWidth="1"/>
    <col min="4" max="6" width="9.38281" style="29" customWidth="1"/>
    <col min="7" max="12" width="11.375" style="29" customWidth="1"/>
    <col min="13" max="16384" width="16.3516" style="29" customWidth="1"/>
  </cols>
  <sheetData>
    <row r="1" ht="46.9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46</v>
      </c>
      <c r="D3" t="s" s="5">
        <v>47</v>
      </c>
      <c r="E3" t="s" s="5">
        <v>8</v>
      </c>
      <c r="F3" t="s" s="5">
        <v>9</v>
      </c>
      <c r="G3" t="s" s="5">
        <v>48</v>
      </c>
      <c r="H3" t="s" s="5">
        <v>12</v>
      </c>
      <c r="I3" t="s" s="5">
        <v>10</v>
      </c>
      <c r="J3" t="s" s="5">
        <v>49</v>
      </c>
      <c r="K3" t="s" s="5">
        <v>3</v>
      </c>
      <c r="L3" t="s" s="5">
        <v>50</v>
      </c>
    </row>
    <row r="4" ht="20.25" customHeight="1">
      <c r="B4" s="23">
        <v>2015</v>
      </c>
      <c r="C4" s="30">
        <v>519</v>
      </c>
      <c r="D4" s="31"/>
      <c r="E4" s="31">
        <v>131.8</v>
      </c>
      <c r="F4" s="31">
        <v>-94.52</v>
      </c>
      <c r="G4" s="31"/>
      <c r="H4" s="31"/>
      <c r="I4" s="31">
        <v>0</v>
      </c>
      <c r="J4" s="31">
        <f>E4+F4</f>
        <v>37.28</v>
      </c>
      <c r="K4" s="31"/>
      <c r="L4" s="31">
        <f>-I4</f>
        <v>0</v>
      </c>
    </row>
    <row r="5" ht="20.05" customHeight="1">
      <c r="B5" s="27"/>
      <c r="C5" s="15">
        <v>609.9</v>
      </c>
      <c r="D5" s="16"/>
      <c r="E5" s="16">
        <v>107.7</v>
      </c>
      <c r="F5" s="16">
        <v>144.12</v>
      </c>
      <c r="G5" s="16"/>
      <c r="H5" s="16"/>
      <c r="I5" s="16">
        <v>-322</v>
      </c>
      <c r="J5" s="16">
        <f>E5+F5</f>
        <v>251.82</v>
      </c>
      <c r="K5" s="16"/>
      <c r="L5" s="16">
        <f>-I5+L4</f>
        <v>322</v>
      </c>
    </row>
    <row r="6" ht="20.05" customHeight="1">
      <c r="B6" s="27"/>
      <c r="C6" s="15">
        <v>507.42</v>
      </c>
      <c r="D6" s="16"/>
      <c r="E6" s="16">
        <v>46.3</v>
      </c>
      <c r="F6" s="16">
        <v>-17.27</v>
      </c>
      <c r="G6" s="16"/>
      <c r="H6" s="16"/>
      <c r="I6" s="16">
        <v>-4.28</v>
      </c>
      <c r="J6" s="16">
        <f>E6+F6</f>
        <v>29.03</v>
      </c>
      <c r="K6" s="16"/>
      <c r="L6" s="16">
        <f>-I6+L5</f>
        <v>326.28</v>
      </c>
    </row>
    <row r="7" ht="20.05" customHeight="1">
      <c r="B7" s="27"/>
      <c r="C7" s="15">
        <v>583.48</v>
      </c>
      <c r="D7" s="16"/>
      <c r="E7" s="16">
        <v>147</v>
      </c>
      <c r="F7" s="16">
        <v>-33.63</v>
      </c>
      <c r="G7" s="16"/>
      <c r="H7" s="16"/>
      <c r="I7" s="16">
        <v>-133.42</v>
      </c>
      <c r="J7" s="16">
        <f>E7+F7</f>
        <v>113.37</v>
      </c>
      <c r="K7" s="16"/>
      <c r="L7" s="16">
        <f>-I7+L6</f>
        <v>459.7</v>
      </c>
    </row>
    <row r="8" ht="20.05" customHeight="1">
      <c r="B8" s="28">
        <v>2016</v>
      </c>
      <c r="C8" s="15">
        <v>538.9</v>
      </c>
      <c r="D8" s="16"/>
      <c r="E8" s="16">
        <v>32.33</v>
      </c>
      <c r="F8" s="16">
        <v>-27.39</v>
      </c>
      <c r="G8" s="16"/>
      <c r="H8" s="16"/>
      <c r="I8" s="16">
        <v>-28.4</v>
      </c>
      <c r="J8" s="16">
        <f>E8+F8</f>
        <v>4.94</v>
      </c>
      <c r="K8" s="16">
        <f>AVERAGE(J5:J8)</f>
        <v>99.79000000000001</v>
      </c>
      <c r="L8" s="16">
        <f>-I8+L7</f>
        <v>488.1</v>
      </c>
    </row>
    <row r="9" ht="20.05" customHeight="1">
      <c r="B9" s="27"/>
      <c r="C9" s="15">
        <v>674.58</v>
      </c>
      <c r="D9" s="16"/>
      <c r="E9" s="16">
        <v>109.97</v>
      </c>
      <c r="F9" s="16">
        <v>147.27</v>
      </c>
      <c r="G9" s="16"/>
      <c r="H9" s="16"/>
      <c r="I9" s="16">
        <v>-329.6</v>
      </c>
      <c r="J9" s="16">
        <f>E9+F9</f>
        <v>257.24</v>
      </c>
      <c r="K9" s="16">
        <f>AVERAGE(J6:J9)</f>
        <v>101.145</v>
      </c>
      <c r="L9" s="16">
        <f>-I9+L8</f>
        <v>817.7</v>
      </c>
    </row>
    <row r="10" ht="20.05" customHeight="1">
      <c r="B10" s="27"/>
      <c r="C10" s="15">
        <v>619.8</v>
      </c>
      <c r="D10" s="16"/>
      <c r="E10" s="16">
        <v>109.3</v>
      </c>
      <c r="F10" s="16">
        <v>-29.48</v>
      </c>
      <c r="G10" s="16"/>
      <c r="H10" s="16"/>
      <c r="I10" s="16">
        <v>-0.17</v>
      </c>
      <c r="J10" s="16">
        <f>E10+F10</f>
        <v>79.81999999999999</v>
      </c>
      <c r="K10" s="16">
        <f>AVERAGE(J7:J10)</f>
        <v>113.8425</v>
      </c>
      <c r="L10" s="16">
        <f>-I10+L9</f>
        <v>817.87</v>
      </c>
    </row>
    <row r="11" ht="20.05" customHeight="1">
      <c r="B11" s="27"/>
      <c r="C11" s="15">
        <v>640.9</v>
      </c>
      <c r="D11" s="16"/>
      <c r="E11" s="16">
        <v>211.05</v>
      </c>
      <c r="F11" s="16">
        <v>-81</v>
      </c>
      <c r="G11" s="16"/>
      <c r="H11" s="16"/>
      <c r="I11" s="16">
        <v>46.02</v>
      </c>
      <c r="J11" s="16">
        <f>E11+F11</f>
        <v>130.05</v>
      </c>
      <c r="K11" s="16">
        <f>AVERAGE(J8:J11)</f>
        <v>118.0125</v>
      </c>
      <c r="L11" s="16">
        <f>-I11+L10</f>
        <v>771.85</v>
      </c>
    </row>
    <row r="12" ht="20.05" customHeight="1">
      <c r="B12" s="28">
        <v>2017</v>
      </c>
      <c r="C12" s="15">
        <v>567.5700000000001</v>
      </c>
      <c r="D12" s="16"/>
      <c r="E12" s="16">
        <v>41.39</v>
      </c>
      <c r="F12" s="16">
        <v>-76.42</v>
      </c>
      <c r="G12" s="16"/>
      <c r="H12" s="16"/>
      <c r="I12" s="16">
        <v>2.22</v>
      </c>
      <c r="J12" s="16">
        <f>E12+F12</f>
        <v>-35.03</v>
      </c>
      <c r="K12" s="16">
        <f>AVERAGE(J9:J12)</f>
        <v>108.02</v>
      </c>
      <c r="L12" s="16">
        <f>-I12+L11</f>
        <v>769.63</v>
      </c>
    </row>
    <row r="13" ht="20.05" customHeight="1">
      <c r="B13" s="27"/>
      <c r="C13" s="15">
        <v>663.4299999999999</v>
      </c>
      <c r="D13" s="16"/>
      <c r="E13" s="16">
        <v>200.69</v>
      </c>
      <c r="F13" s="16">
        <v>-63.14</v>
      </c>
      <c r="G13" s="16"/>
      <c r="H13" s="16"/>
      <c r="I13" s="16">
        <v>-387.22</v>
      </c>
      <c r="J13" s="16">
        <f>E13+F13</f>
        <v>137.55</v>
      </c>
      <c r="K13" s="16">
        <f>AVERAGE(J10:J13)</f>
        <v>78.0975</v>
      </c>
      <c r="L13" s="16">
        <f>-I13+L12</f>
        <v>1156.85</v>
      </c>
    </row>
    <row r="14" ht="20.05" customHeight="1">
      <c r="B14" s="27"/>
      <c r="C14" s="15">
        <v>642.97</v>
      </c>
      <c r="D14" s="16"/>
      <c r="E14" s="16">
        <v>238.12</v>
      </c>
      <c r="F14" s="16">
        <v>-142.34</v>
      </c>
      <c r="G14" s="16"/>
      <c r="H14" s="16"/>
      <c r="I14" s="16">
        <v>0</v>
      </c>
      <c r="J14" s="16">
        <f>E14+F14</f>
        <v>95.78</v>
      </c>
      <c r="K14" s="16">
        <f>AVERAGE(J11:J14)</f>
        <v>82.08750000000001</v>
      </c>
      <c r="L14" s="16">
        <f>-I14+L13</f>
        <v>1156.85</v>
      </c>
    </row>
    <row r="15" ht="20.05" customHeight="1">
      <c r="B15" s="27"/>
      <c r="C15" s="15">
        <v>652.42</v>
      </c>
      <c r="D15" s="16"/>
      <c r="E15" s="16">
        <v>160.49</v>
      </c>
      <c r="F15" s="16">
        <v>-68.36</v>
      </c>
      <c r="G15" s="16"/>
      <c r="H15" s="16"/>
      <c r="I15" s="16">
        <v>0.3</v>
      </c>
      <c r="J15" s="16">
        <f>E15+F15</f>
        <v>92.13</v>
      </c>
      <c r="K15" s="16">
        <f>AVERAGE(J12:J15)</f>
        <v>72.6075</v>
      </c>
      <c r="L15" s="16">
        <f>-I15+L14</f>
        <v>1156.55</v>
      </c>
    </row>
    <row r="16" ht="20.05" customHeight="1">
      <c r="B16" s="28">
        <v>2018</v>
      </c>
      <c r="C16" s="15">
        <v>646.21</v>
      </c>
      <c r="D16" s="16"/>
      <c r="E16" s="16">
        <v>153.98</v>
      </c>
      <c r="F16" s="16">
        <v>-110.517</v>
      </c>
      <c r="G16" s="16"/>
      <c r="H16" s="16"/>
      <c r="I16" s="16">
        <v>0</v>
      </c>
      <c r="J16" s="16">
        <f>E16+F16</f>
        <v>43.463</v>
      </c>
      <c r="K16" s="16">
        <f>AVERAGE(J13:J16)</f>
        <v>92.23075</v>
      </c>
      <c r="L16" s="16">
        <f>-I16+L15</f>
        <v>1156.55</v>
      </c>
    </row>
    <row r="17" ht="20.05" customHeight="1">
      <c r="B17" s="27"/>
      <c r="C17" s="15">
        <v>655.88</v>
      </c>
      <c r="D17" s="16"/>
      <c r="E17" s="16">
        <v>173.4</v>
      </c>
      <c r="F17" s="16">
        <v>-61.887</v>
      </c>
      <c r="G17" s="16"/>
      <c r="H17" s="16"/>
      <c r="I17" s="16">
        <v>0.9</v>
      </c>
      <c r="J17" s="16">
        <f>E17+F17</f>
        <v>111.513</v>
      </c>
      <c r="K17" s="16">
        <f>AVERAGE(J14:J17)</f>
        <v>85.72150000000001</v>
      </c>
      <c r="L17" s="16">
        <f>-I17+L16</f>
        <v>1155.65</v>
      </c>
    </row>
    <row r="18" ht="20.05" customHeight="1">
      <c r="B18" s="27"/>
      <c r="C18" s="15">
        <v>783.1</v>
      </c>
      <c r="D18" s="16"/>
      <c r="E18" s="16">
        <v>294.38</v>
      </c>
      <c r="F18" s="16">
        <v>-48.326</v>
      </c>
      <c r="G18" s="16"/>
      <c r="H18" s="16"/>
      <c r="I18" s="16">
        <v>-431.55</v>
      </c>
      <c r="J18" s="16">
        <f>E18+F18</f>
        <v>246.054</v>
      </c>
      <c r="K18" s="16">
        <f>AVERAGE(J15:J18)</f>
        <v>123.29</v>
      </c>
      <c r="L18" s="16">
        <f>-I18+L17</f>
        <v>1587.2</v>
      </c>
    </row>
    <row r="19" ht="20.05" customHeight="1">
      <c r="B19" s="27"/>
      <c r="C19" s="15">
        <v>716.8099999999999</v>
      </c>
      <c r="D19" s="16"/>
      <c r="E19" s="16">
        <v>224.62</v>
      </c>
      <c r="F19" s="16">
        <v>-67.97</v>
      </c>
      <c r="G19" s="16"/>
      <c r="H19" s="16"/>
      <c r="I19" s="16">
        <v>-223.25</v>
      </c>
      <c r="J19" s="16">
        <f>E19+F19</f>
        <v>156.65</v>
      </c>
      <c r="K19" s="16">
        <f>AVERAGE(J16:J19)</f>
        <v>139.42</v>
      </c>
      <c r="L19" s="16">
        <f>-I19+L18</f>
        <v>1810.45</v>
      </c>
    </row>
    <row r="20" ht="20.05" customHeight="1">
      <c r="B20" s="28">
        <v>2019</v>
      </c>
      <c r="C20" s="15">
        <v>716.179</v>
      </c>
      <c r="D20" s="16"/>
      <c r="E20" s="16">
        <v>160.587</v>
      </c>
      <c r="F20" s="16">
        <v>-53.926</v>
      </c>
      <c r="G20" s="16"/>
      <c r="H20" s="16"/>
      <c r="I20" s="16">
        <v>0</v>
      </c>
      <c r="J20" s="16">
        <f>E20+F20</f>
        <v>106.661</v>
      </c>
      <c r="K20" s="16">
        <f>AVERAGE(J17:J20)</f>
        <v>155.2195</v>
      </c>
      <c r="L20" s="16">
        <f>-I20+L19</f>
        <v>1810.45</v>
      </c>
    </row>
    <row r="21" ht="20.05" customHeight="1">
      <c r="B21" s="27"/>
      <c r="C21" s="15">
        <v>759.511</v>
      </c>
      <c r="D21" s="16"/>
      <c r="E21" s="16">
        <v>182.723</v>
      </c>
      <c r="F21" s="16">
        <v>-23.064</v>
      </c>
      <c r="G21" s="16"/>
      <c r="H21" s="16"/>
      <c r="I21" s="16">
        <v>0</v>
      </c>
      <c r="J21" s="16">
        <f>E21+F21</f>
        <v>159.659</v>
      </c>
      <c r="K21" s="16">
        <f>AVERAGE(J18:J21)</f>
        <v>167.256</v>
      </c>
      <c r="L21" s="16">
        <f>-I21+L20</f>
        <v>1810.45</v>
      </c>
    </row>
    <row r="22" ht="20.05" customHeight="1">
      <c r="B22" s="27"/>
      <c r="C22" s="15">
        <v>696.8099999999999</v>
      </c>
      <c r="D22" s="16"/>
      <c r="E22" s="16">
        <v>233.41</v>
      </c>
      <c r="F22" s="16">
        <v>-32.61</v>
      </c>
      <c r="G22" s="16"/>
      <c r="H22" s="16"/>
      <c r="I22" s="16">
        <v>-312.57</v>
      </c>
      <c r="J22" s="16">
        <f>E22+F22</f>
        <v>200.8</v>
      </c>
      <c r="K22" s="16">
        <f>AVERAGE(J19:J22)</f>
        <v>155.9425</v>
      </c>
      <c r="L22" s="16">
        <f>-I22+L21</f>
        <v>2123.02</v>
      </c>
    </row>
    <row r="23" ht="20.05" customHeight="1">
      <c r="B23" s="27"/>
      <c r="C23" s="15">
        <v>786.5</v>
      </c>
      <c r="D23" s="16"/>
      <c r="E23" s="16">
        <v>260.28</v>
      </c>
      <c r="F23" s="16">
        <v>-26.4</v>
      </c>
      <c r="G23" s="16"/>
      <c r="H23" s="16"/>
      <c r="I23" s="16">
        <v>-327.43</v>
      </c>
      <c r="J23" s="16">
        <f>E23+F23</f>
        <v>233.88</v>
      </c>
      <c r="K23" s="16">
        <f>AVERAGE(J20:J23)</f>
        <v>175.25</v>
      </c>
      <c r="L23" s="16">
        <f>-I23+L22</f>
        <v>2450.45</v>
      </c>
    </row>
    <row r="24" ht="20.05" customHeight="1">
      <c r="B24" s="28">
        <v>2020</v>
      </c>
      <c r="C24" s="15">
        <v>749</v>
      </c>
      <c r="D24" s="16">
        <v>0</v>
      </c>
      <c r="E24" s="16">
        <v>209</v>
      </c>
      <c r="F24" s="16">
        <v>-27</v>
      </c>
      <c r="G24" s="16">
        <f>I24-H24-D24</f>
        <v>0</v>
      </c>
      <c r="H24" s="16">
        <v>0</v>
      </c>
      <c r="I24" s="16">
        <v>0</v>
      </c>
      <c r="J24" s="16">
        <f>E24+F24</f>
        <v>182</v>
      </c>
      <c r="K24" s="16">
        <f>AVERAGE(J21:J24)</f>
        <v>194.08475</v>
      </c>
      <c r="L24" s="16">
        <f>-I24+L23</f>
        <v>2450.45</v>
      </c>
    </row>
    <row r="25" ht="20.05" customHeight="1">
      <c r="B25" s="27"/>
      <c r="C25" s="15">
        <v>785</v>
      </c>
      <c r="D25" s="16">
        <v>0</v>
      </c>
      <c r="E25" s="16">
        <v>144</v>
      </c>
      <c r="F25" s="16">
        <v>-7</v>
      </c>
      <c r="G25" s="16">
        <f>I25-H25-D25</f>
        <v>0</v>
      </c>
      <c r="H25" s="16">
        <f>-401.9-H24</f>
        <v>-401.9</v>
      </c>
      <c r="I25" s="16">
        <v>-401.9</v>
      </c>
      <c r="J25" s="16">
        <f>E25+F25</f>
        <v>137</v>
      </c>
      <c r="K25" s="16">
        <f>AVERAGE(J22:J25)</f>
        <v>188.42</v>
      </c>
      <c r="L25" s="16">
        <f>-I25+L24</f>
        <v>2852.35</v>
      </c>
    </row>
    <row r="26" ht="20.05" customHeight="1">
      <c r="B26" s="27"/>
      <c r="C26" s="15">
        <f>2283-SUM(C24:C25)</f>
        <v>749</v>
      </c>
      <c r="D26" s="16">
        <f>-1.5-SUM(D24:D25)</f>
        <v>-1.5</v>
      </c>
      <c r="E26" s="16">
        <f>631.9-SUM(E24:E25)</f>
        <v>278.9</v>
      </c>
      <c r="F26" s="16">
        <f>-65.5-SUM(F24:F25)</f>
        <v>-31.5</v>
      </c>
      <c r="G26" s="16">
        <f>I26-H26-D26</f>
        <v>0.01</v>
      </c>
      <c r="H26" s="16">
        <f>-401.9-SUM(H24:H25)</f>
        <v>0</v>
      </c>
      <c r="I26" s="16">
        <f>-403.39-SUM(I24:I25)</f>
        <v>-1.49</v>
      </c>
      <c r="J26" s="16">
        <f>E26+F26</f>
        <v>247.4</v>
      </c>
      <c r="K26" s="16">
        <f>AVERAGE(J23:J26)</f>
        <v>200.07</v>
      </c>
      <c r="L26" s="16">
        <f>-I26+L25</f>
        <v>2853.84</v>
      </c>
    </row>
    <row r="27" ht="20.05" customHeight="1">
      <c r="B27" s="27"/>
      <c r="C27" s="15">
        <f>3220.4-SUM(C24:C26)</f>
        <v>937.4</v>
      </c>
      <c r="D27" s="16">
        <f>-2.2-SUM(D24:D26)</f>
        <v>-0.7</v>
      </c>
      <c r="E27" s="16">
        <f>1035.8-SUM(E24:E26)</f>
        <v>403.9</v>
      </c>
      <c r="F27" s="16">
        <f>-95.1-SUM(F24:F26)</f>
        <v>-29.6</v>
      </c>
      <c r="G27" s="16">
        <f>0</f>
        <v>0</v>
      </c>
      <c r="H27" s="16">
        <f>-774+1.3-SUM(H24:H26)</f>
        <v>-370.8</v>
      </c>
      <c r="I27" s="16">
        <f>-774.9-SUM(I24:I26)</f>
        <v>-371.51</v>
      </c>
      <c r="J27" s="16">
        <f>E27+F27</f>
        <v>374.3</v>
      </c>
      <c r="K27" s="16">
        <f>AVERAGE(J24:J27)</f>
        <v>235.175</v>
      </c>
      <c r="L27" s="16">
        <f>-I27+L26</f>
        <v>3225.35</v>
      </c>
    </row>
    <row r="28" ht="20.05" customHeight="1">
      <c r="B28" s="28">
        <v>2021</v>
      </c>
      <c r="C28" s="15">
        <v>962</v>
      </c>
      <c r="D28" s="16">
        <v>-0.7</v>
      </c>
      <c r="E28" s="16">
        <v>252</v>
      </c>
      <c r="F28" s="16">
        <v>-30</v>
      </c>
      <c r="G28" s="16">
        <f>I28-H28-D28</f>
        <v>0</v>
      </c>
      <c r="H28" s="16">
        <v>0</v>
      </c>
      <c r="I28" s="16">
        <v>-0.7</v>
      </c>
      <c r="J28" s="16">
        <f>E28+F28</f>
        <v>222</v>
      </c>
      <c r="K28" s="16">
        <f>AVERAGE(J25:J28)</f>
        <v>245.175</v>
      </c>
      <c r="L28" s="16">
        <f>-I28+L27</f>
        <v>3226.05</v>
      </c>
    </row>
    <row r="29" ht="20.05" customHeight="1">
      <c r="B29" s="27"/>
      <c r="C29" s="15">
        <v>790</v>
      </c>
      <c r="D29" s="16">
        <f>-1.2-D28</f>
        <v>-0.5</v>
      </c>
      <c r="E29" s="16">
        <v>128</v>
      </c>
      <c r="F29" s="16">
        <v>-22</v>
      </c>
      <c r="G29" s="16">
        <f>I29-H29-D29</f>
        <v>0</v>
      </c>
      <c r="H29" s="16">
        <f>-562.7-H28</f>
        <v>-562.7</v>
      </c>
      <c r="I29" s="16">
        <f>-563.9-I28</f>
        <v>-563.2</v>
      </c>
      <c r="J29" s="16">
        <f>E29+F29</f>
        <v>106</v>
      </c>
      <c r="K29" s="16">
        <f>AVERAGE(J26:J29)</f>
        <v>237.425</v>
      </c>
      <c r="L29" s="16">
        <f>-I29+L28</f>
        <v>3789.25</v>
      </c>
    </row>
    <row r="30" ht="20.05" customHeight="1">
      <c r="B30" s="27"/>
      <c r="C30" s="15">
        <f>2917-C29-C28</f>
        <v>1165</v>
      </c>
      <c r="D30" s="16">
        <f>-3.9-SUM(D28:D29)</f>
        <v>-2.7</v>
      </c>
      <c r="E30" s="16">
        <f>899.2-E29-E28</f>
        <v>519.2</v>
      </c>
      <c r="F30" s="16">
        <f>-84.2-F29-F28</f>
        <v>-32.2</v>
      </c>
      <c r="G30" s="16">
        <f>I30-H30-D30</f>
        <v>0</v>
      </c>
      <c r="H30" s="16">
        <f>-1018.1-SUM(H28:H29)</f>
        <v>-455.4</v>
      </c>
      <c r="I30" s="16">
        <f>-1022-I29-I28</f>
        <v>-458.1</v>
      </c>
      <c r="J30" s="16">
        <f>E30+F30</f>
        <v>487</v>
      </c>
      <c r="K30" s="16">
        <f>AVERAGE(J27:J30)</f>
        <v>297.325</v>
      </c>
      <c r="L30" s="16">
        <f>-I30+L29</f>
        <v>4247.35</v>
      </c>
    </row>
    <row r="31" ht="20.05" customHeight="1">
      <c r="B31" s="27"/>
      <c r="C31" s="15">
        <f>4024.5-SUM(C28:C30)</f>
        <v>1107.5</v>
      </c>
      <c r="D31" s="16">
        <f>-6.4-SUM(D28:D30)</f>
        <v>-2.5</v>
      </c>
      <c r="E31" s="16">
        <f>1199.3-SUM(E28:E30)</f>
        <v>300.1</v>
      </c>
      <c r="F31" s="16">
        <f>-124.3-SUM(F28:F30)</f>
        <v>-40.1</v>
      </c>
      <c r="G31" s="16">
        <f>I31-H31-D31</f>
        <v>0</v>
      </c>
      <c r="H31" s="16">
        <f>-1018.1+7-7.7-SUM(H28:H30)</f>
        <v>-0.7</v>
      </c>
      <c r="I31" s="16">
        <f>-1025.2-SUM(I28:I30)</f>
        <v>-3.2</v>
      </c>
      <c r="J31" s="16">
        <f>E31+F31</f>
        <v>260</v>
      </c>
      <c r="K31" s="16">
        <f>AVERAGE(J28:J31)</f>
        <v>268.75</v>
      </c>
      <c r="L31" s="16">
        <f>-I31+L30</f>
        <v>4250.55</v>
      </c>
    </row>
    <row r="32" ht="20.05" customHeight="1">
      <c r="B32" s="28">
        <v>2022</v>
      </c>
      <c r="C32" s="15"/>
      <c r="D32" s="16"/>
      <c r="E32" s="16"/>
      <c r="F32" s="16"/>
      <c r="G32" s="16"/>
      <c r="H32" s="16"/>
      <c r="I32" s="16"/>
      <c r="J32" s="16"/>
      <c r="K32" s="16">
        <f>'Model'!F9+'Model'!F10</f>
        <v>355.071130925925</v>
      </c>
      <c r="L32" s="16">
        <f>'Model'!F32</f>
        <v>5509.7264962246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2" customWidth="1"/>
    <col min="2" max="2" width="9.71875" style="32" customWidth="1"/>
    <col min="3" max="11" width="9.98438" style="32" customWidth="1"/>
    <col min="12" max="16384" width="16.3516" style="32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53</v>
      </c>
      <c r="F3" t="s" s="5">
        <v>23</v>
      </c>
      <c r="G3" t="s" s="5">
        <v>11</v>
      </c>
      <c r="H3" t="s" s="5">
        <v>25</v>
      </c>
      <c r="I3" t="s" s="5">
        <v>26</v>
      </c>
      <c r="J3" t="s" s="5">
        <v>27</v>
      </c>
      <c r="K3" t="s" s="5">
        <v>34</v>
      </c>
    </row>
    <row r="4" ht="20.25" customHeight="1">
      <c r="B4" s="23">
        <v>2015</v>
      </c>
      <c r="C4" s="30">
        <v>903</v>
      </c>
      <c r="D4" s="31">
        <v>2906</v>
      </c>
      <c r="E4" s="31">
        <f>D4-C4</f>
        <v>2003</v>
      </c>
      <c r="F4" s="31">
        <v>291</v>
      </c>
      <c r="G4" s="31">
        <v>153</v>
      </c>
      <c r="H4" s="31">
        <v>2753</v>
      </c>
      <c r="I4" s="31">
        <f>G4+H4-C4-E4</f>
        <v>0</v>
      </c>
      <c r="J4" s="31">
        <f>C4-G4</f>
        <v>750</v>
      </c>
      <c r="K4" s="31"/>
    </row>
    <row r="5" ht="20.05" customHeight="1">
      <c r="B5" s="27"/>
      <c r="C5" s="15">
        <v>833</v>
      </c>
      <c r="D5" s="16">
        <v>2696</v>
      </c>
      <c r="E5" s="16">
        <f>D5-C5</f>
        <v>1863</v>
      </c>
      <c r="F5" s="16">
        <v>308</v>
      </c>
      <c r="G5" s="16">
        <v>175</v>
      </c>
      <c r="H5" s="16">
        <v>2521</v>
      </c>
      <c r="I5" s="16">
        <f>G5+H5-C5-E5</f>
        <v>0</v>
      </c>
      <c r="J5" s="16">
        <f>C5-G5</f>
        <v>658</v>
      </c>
      <c r="K5" s="16"/>
    </row>
    <row r="6" ht="20.05" customHeight="1">
      <c r="B6" s="27"/>
      <c r="C6" s="15">
        <v>857</v>
      </c>
      <c r="D6" s="16">
        <v>2776</v>
      </c>
      <c r="E6" s="16">
        <f>D6-C6</f>
        <v>1919</v>
      </c>
      <c r="F6" s="16">
        <v>325</v>
      </c>
      <c r="G6" s="16">
        <v>180</v>
      </c>
      <c r="H6" s="16">
        <v>2596</v>
      </c>
      <c r="I6" s="16">
        <f>G6+H6-C6-E6</f>
        <v>0</v>
      </c>
      <c r="J6" s="16">
        <f>C6-G6</f>
        <v>677</v>
      </c>
      <c r="K6" s="16"/>
    </row>
    <row r="7" ht="20.05" customHeight="1">
      <c r="B7" s="27"/>
      <c r="C7" s="15">
        <v>837</v>
      </c>
      <c r="D7" s="16">
        <v>2796</v>
      </c>
      <c r="E7" s="16">
        <f>D7-C7</f>
        <v>1959</v>
      </c>
      <c r="F7" s="16">
        <v>343</v>
      </c>
      <c r="G7" s="16">
        <v>198</v>
      </c>
      <c r="H7" s="16">
        <v>2598</v>
      </c>
      <c r="I7" s="16">
        <f>G7+H7-C7-E7</f>
        <v>0</v>
      </c>
      <c r="J7" s="16">
        <f>C7-G7</f>
        <v>639</v>
      </c>
      <c r="K7" s="16"/>
    </row>
    <row r="8" ht="20.05" customHeight="1">
      <c r="B8" s="28">
        <v>2016</v>
      </c>
      <c r="C8" s="15">
        <v>813</v>
      </c>
      <c r="D8" s="16">
        <v>2918</v>
      </c>
      <c r="E8" s="16">
        <f>D8-C8</f>
        <v>2105</v>
      </c>
      <c r="F8" s="16">
        <v>361</v>
      </c>
      <c r="G8" s="16">
        <v>223</v>
      </c>
      <c r="H8" s="16">
        <v>2695</v>
      </c>
      <c r="I8" s="16">
        <f>G8+H8-C8-E8</f>
        <v>0</v>
      </c>
      <c r="J8" s="16">
        <f>C8-G8</f>
        <v>590</v>
      </c>
      <c r="K8" s="16"/>
    </row>
    <row r="9" ht="20.05" customHeight="1">
      <c r="B9" s="27"/>
      <c r="C9" s="15">
        <v>741</v>
      </c>
      <c r="D9" s="16">
        <v>2685</v>
      </c>
      <c r="E9" s="16">
        <f>D9-C9</f>
        <v>1944</v>
      </c>
      <c r="F9" s="16">
        <v>382</v>
      </c>
      <c r="G9" s="16">
        <v>219</v>
      </c>
      <c r="H9" s="16">
        <v>2466</v>
      </c>
      <c r="I9" s="16">
        <f>G9+H9-C9-E9</f>
        <v>0</v>
      </c>
      <c r="J9" s="16">
        <f>C9-G9</f>
        <v>522</v>
      </c>
      <c r="K9" s="16"/>
    </row>
    <row r="10" ht="20.05" customHeight="1">
      <c r="B10" s="27"/>
      <c r="C10" s="15">
        <v>821</v>
      </c>
      <c r="D10" s="16">
        <v>2778</v>
      </c>
      <c r="E10" s="16">
        <f>D10-C10</f>
        <v>1957</v>
      </c>
      <c r="F10" s="16">
        <v>403</v>
      </c>
      <c r="G10" s="16">
        <v>225</v>
      </c>
      <c r="H10" s="16">
        <v>2553</v>
      </c>
      <c r="I10" s="16">
        <f>G10+H10-C10-E10</f>
        <v>0</v>
      </c>
      <c r="J10" s="16">
        <f>C10-G10</f>
        <v>596</v>
      </c>
      <c r="K10" s="16"/>
    </row>
    <row r="11" ht="20.05" customHeight="1">
      <c r="B11" s="27"/>
      <c r="C11" s="15">
        <v>997</v>
      </c>
      <c r="D11" s="16">
        <v>2988</v>
      </c>
      <c r="E11" s="16">
        <f>D11-C11</f>
        <v>1991</v>
      </c>
      <c r="F11" s="16">
        <v>396</v>
      </c>
      <c r="G11" s="16">
        <v>230</v>
      </c>
      <c r="H11" s="16">
        <v>2758</v>
      </c>
      <c r="I11" s="16">
        <f>G11+H11-C11-E11</f>
        <v>0</v>
      </c>
      <c r="J11" s="16">
        <f>C11-G11</f>
        <v>767</v>
      </c>
      <c r="K11" s="16"/>
    </row>
    <row r="12" ht="20.05" customHeight="1">
      <c r="B12" s="28">
        <v>2017</v>
      </c>
      <c r="C12" s="15">
        <v>964</v>
      </c>
      <c r="D12" s="16">
        <v>3090</v>
      </c>
      <c r="E12" s="16">
        <f>D12-C12</f>
        <v>2126</v>
      </c>
      <c r="F12" s="16">
        <v>411</v>
      </c>
      <c r="G12" s="16">
        <v>202</v>
      </c>
      <c r="H12" s="16">
        <v>2888</v>
      </c>
      <c r="I12" s="16">
        <f>G12+H12-C12-E12</f>
        <v>0</v>
      </c>
      <c r="J12" s="16">
        <f>C12-G12</f>
        <v>762</v>
      </c>
      <c r="K12" s="16"/>
    </row>
    <row r="13" ht="20.05" customHeight="1">
      <c r="B13" s="27"/>
      <c r="C13" s="15">
        <v>715</v>
      </c>
      <c r="D13" s="16">
        <v>2804</v>
      </c>
      <c r="E13" s="16">
        <f>D13-C13</f>
        <v>2089</v>
      </c>
      <c r="F13" s="16">
        <v>425</v>
      </c>
      <c r="G13" s="16">
        <v>186</v>
      </c>
      <c r="H13" s="16">
        <v>2618</v>
      </c>
      <c r="I13" s="16">
        <f>G13+H13-C13-E13</f>
        <v>0</v>
      </c>
      <c r="J13" s="16">
        <f>C13-G13</f>
        <v>529</v>
      </c>
      <c r="K13" s="16"/>
    </row>
    <row r="14" ht="20.05" customHeight="1">
      <c r="B14" s="27"/>
      <c r="C14" s="15">
        <v>810</v>
      </c>
      <c r="D14" s="16">
        <v>2970</v>
      </c>
      <c r="E14" s="16">
        <f>D14-C14</f>
        <v>2160</v>
      </c>
      <c r="F14" s="16">
        <v>440</v>
      </c>
      <c r="G14" s="16">
        <v>233</v>
      </c>
      <c r="H14" s="16">
        <v>2737</v>
      </c>
      <c r="I14" s="16">
        <f>G14+H14-C14-E14</f>
        <v>0</v>
      </c>
      <c r="J14" s="16">
        <f>C14-G14</f>
        <v>577</v>
      </c>
      <c r="K14" s="16"/>
    </row>
    <row r="15" ht="20.05" customHeight="1">
      <c r="B15" s="27"/>
      <c r="C15" s="15">
        <v>903</v>
      </c>
      <c r="D15" s="16">
        <v>3158</v>
      </c>
      <c r="E15" s="16">
        <f>D15-C15</f>
        <v>2255</v>
      </c>
      <c r="F15" s="16">
        <v>454</v>
      </c>
      <c r="G15" s="16">
        <v>262</v>
      </c>
      <c r="H15" s="16">
        <v>2896</v>
      </c>
      <c r="I15" s="16">
        <f>G15+H15-C15-E15</f>
        <v>0</v>
      </c>
      <c r="J15" s="16">
        <f>C15-G15</f>
        <v>641</v>
      </c>
      <c r="K15" s="16"/>
    </row>
    <row r="16" ht="20.05" customHeight="1">
      <c r="B16" s="28">
        <v>2018</v>
      </c>
      <c r="C16" s="15">
        <v>946</v>
      </c>
      <c r="D16" s="16">
        <v>3332</v>
      </c>
      <c r="E16" s="16">
        <f>D16-C16</f>
        <v>2386</v>
      </c>
      <c r="F16" s="16">
        <v>469</v>
      </c>
      <c r="G16" s="16">
        <v>267</v>
      </c>
      <c r="H16" s="16">
        <v>3065</v>
      </c>
      <c r="I16" s="16">
        <f>G16+H16-C16-E16</f>
        <v>0</v>
      </c>
      <c r="J16" s="16">
        <f>C16-G16</f>
        <v>679</v>
      </c>
      <c r="K16" s="16"/>
    </row>
    <row r="17" ht="20.05" customHeight="1">
      <c r="B17" s="27"/>
      <c r="C17" s="15">
        <v>1059</v>
      </c>
      <c r="D17" s="16">
        <v>3493</v>
      </c>
      <c r="E17" s="16">
        <f>D17-C17</f>
        <v>2434</v>
      </c>
      <c r="F17" s="16">
        <v>485</v>
      </c>
      <c r="G17" s="16">
        <v>740</v>
      </c>
      <c r="H17" s="16">
        <v>2753</v>
      </c>
      <c r="I17" s="16">
        <f>G17+H17-C17-E17</f>
        <v>0</v>
      </c>
      <c r="J17" s="16">
        <f>C17-G17</f>
        <v>319</v>
      </c>
      <c r="K17" s="16"/>
    </row>
    <row r="18" ht="20.05" customHeight="1">
      <c r="B18" s="27"/>
      <c r="C18" s="15">
        <v>873</v>
      </c>
      <c r="D18" s="16">
        <v>3237</v>
      </c>
      <c r="E18" s="16">
        <f>D18-C18</f>
        <v>2364</v>
      </c>
      <c r="F18" s="16">
        <v>500</v>
      </c>
      <c r="G18" s="16">
        <v>284</v>
      </c>
      <c r="H18" s="16">
        <v>2953</v>
      </c>
      <c r="I18" s="16">
        <f>G18+H18-C18-E18</f>
        <v>0</v>
      </c>
      <c r="J18" s="16">
        <f>C18-G18</f>
        <v>589</v>
      </c>
      <c r="K18" s="16"/>
    </row>
    <row r="19" ht="20.05" customHeight="1">
      <c r="B19" s="27"/>
      <c r="C19" s="15">
        <v>806</v>
      </c>
      <c r="D19" s="16">
        <v>3338</v>
      </c>
      <c r="E19" s="16">
        <f>D19-C19</f>
        <v>2532</v>
      </c>
      <c r="F19" s="16">
        <v>515</v>
      </c>
      <c r="G19" s="16">
        <v>435</v>
      </c>
      <c r="H19" s="16">
        <v>2903</v>
      </c>
      <c r="I19" s="16">
        <f>G19+H19-C19-E19</f>
        <v>0</v>
      </c>
      <c r="J19" s="16">
        <f>C19-G19</f>
        <v>371</v>
      </c>
      <c r="K19" s="16"/>
    </row>
    <row r="20" ht="20.05" customHeight="1">
      <c r="B20" s="28">
        <v>2019</v>
      </c>
      <c r="C20" s="15">
        <v>912</v>
      </c>
      <c r="D20" s="16">
        <v>3488</v>
      </c>
      <c r="E20" s="16">
        <f>D20-C20</f>
        <v>2576</v>
      </c>
      <c r="F20" s="16">
        <v>533</v>
      </c>
      <c r="G20" s="16">
        <v>376</v>
      </c>
      <c r="H20" s="16">
        <v>3112</v>
      </c>
      <c r="I20" s="16">
        <f>G20+H20-C20-E20</f>
        <v>0</v>
      </c>
      <c r="J20" s="16">
        <f>C20-G20</f>
        <v>536</v>
      </c>
      <c r="K20" s="16"/>
    </row>
    <row r="21" ht="20.05" customHeight="1">
      <c r="B21" s="27"/>
      <c r="C21" s="15">
        <v>759</v>
      </c>
      <c r="D21" s="16">
        <v>3271</v>
      </c>
      <c r="E21" s="16">
        <f>D21-C21</f>
        <v>2512</v>
      </c>
      <c r="F21" s="16">
        <v>554</v>
      </c>
      <c r="G21" s="16">
        <v>304</v>
      </c>
      <c r="H21" s="16">
        <v>2967</v>
      </c>
      <c r="I21" s="16">
        <f>G21+H21-C21-E21</f>
        <v>0</v>
      </c>
      <c r="J21" s="16">
        <f>C21-G21</f>
        <v>455</v>
      </c>
      <c r="K21" s="16"/>
    </row>
    <row r="22" ht="20.05" customHeight="1">
      <c r="B22" s="27"/>
      <c r="C22" s="15">
        <v>959</v>
      </c>
      <c r="D22" s="16">
        <v>3535</v>
      </c>
      <c r="E22" s="16">
        <f>D22-C22</f>
        <v>2576</v>
      </c>
      <c r="F22" s="16">
        <v>578</v>
      </c>
      <c r="G22" s="16">
        <v>365</v>
      </c>
      <c r="H22" s="16">
        <v>3170</v>
      </c>
      <c r="I22" s="16">
        <f>G22+H22-C22-E22</f>
        <v>0</v>
      </c>
      <c r="J22" s="16">
        <f>C22-G22</f>
        <v>594</v>
      </c>
      <c r="K22" s="16"/>
    </row>
    <row r="23" ht="20.05" customHeight="1">
      <c r="B23" s="27"/>
      <c r="C23" s="15">
        <v>865</v>
      </c>
      <c r="D23" s="16">
        <v>3529</v>
      </c>
      <c r="E23" s="16">
        <f>D23-C23</f>
        <v>2664</v>
      </c>
      <c r="F23" s="16">
        <v>599</v>
      </c>
      <c r="G23" s="16">
        <v>464</v>
      </c>
      <c r="H23" s="16">
        <v>3065</v>
      </c>
      <c r="I23" s="16">
        <f>G23+H23-C23-E23</f>
        <v>0</v>
      </c>
      <c r="J23" s="16">
        <f>C23-G23</f>
        <v>401</v>
      </c>
      <c r="K23" s="33"/>
    </row>
    <row r="24" ht="20.05" customHeight="1">
      <c r="B24" s="28">
        <v>2020</v>
      </c>
      <c r="C24" s="15">
        <v>1045</v>
      </c>
      <c r="D24" s="16">
        <v>3736</v>
      </c>
      <c r="E24" s="16">
        <f>D24-C24</f>
        <v>2691</v>
      </c>
      <c r="F24" s="16">
        <v>622</v>
      </c>
      <c r="G24" s="16">
        <v>439</v>
      </c>
      <c r="H24" s="16">
        <v>3296</v>
      </c>
      <c r="I24" s="16">
        <f>G24+H24-C24-E24</f>
        <v>-1</v>
      </c>
      <c r="J24" s="16">
        <f>C24-G24</f>
        <v>606</v>
      </c>
      <c r="K24" s="33"/>
    </row>
    <row r="25" ht="20.05" customHeight="1">
      <c r="B25" s="27"/>
      <c r="C25" s="15">
        <v>783</v>
      </c>
      <c r="D25" s="16">
        <v>3444</v>
      </c>
      <c r="E25" s="16">
        <f>D25-C25</f>
        <v>2661</v>
      </c>
      <c r="F25" s="16">
        <v>632</v>
      </c>
      <c r="G25" s="16">
        <v>366</v>
      </c>
      <c r="H25" s="16">
        <v>3078</v>
      </c>
      <c r="I25" s="16">
        <f>G25+H25-C25-E25</f>
        <v>0</v>
      </c>
      <c r="J25" s="16">
        <f>C25-G25</f>
        <v>417</v>
      </c>
      <c r="K25" s="33"/>
    </row>
    <row r="26" ht="20.05" customHeight="1">
      <c r="B26" s="27"/>
      <c r="C26" s="15">
        <v>1027</v>
      </c>
      <c r="D26" s="16">
        <v>3700</v>
      </c>
      <c r="E26" s="16">
        <f>D26-C26</f>
        <v>2673</v>
      </c>
      <c r="F26" s="33">
        <f>655</f>
        <v>655</v>
      </c>
      <c r="G26" s="16">
        <v>395</v>
      </c>
      <c r="H26" s="16">
        <v>3305</v>
      </c>
      <c r="I26" s="16">
        <f>G26+H26-C26-E26</f>
        <v>0</v>
      </c>
      <c r="J26" s="16">
        <f>C26-G26</f>
        <v>632</v>
      </c>
      <c r="K26" s="16"/>
    </row>
    <row r="27" ht="20.05" customHeight="1">
      <c r="B27" s="27"/>
      <c r="C27" s="15">
        <v>1032</v>
      </c>
      <c r="D27" s="16">
        <v>3849</v>
      </c>
      <c r="E27" s="16">
        <f>D27-C27</f>
        <v>2817</v>
      </c>
      <c r="F27" s="16">
        <v>679</v>
      </c>
      <c r="G27" s="16">
        <v>628</v>
      </c>
      <c r="H27" s="16">
        <v>3221</v>
      </c>
      <c r="I27" s="16">
        <f>G27+H27-C27-E27</f>
        <v>0</v>
      </c>
      <c r="J27" s="16">
        <f>C27-G27</f>
        <v>404</v>
      </c>
      <c r="K27" s="16"/>
    </row>
    <row r="28" ht="20.05" customHeight="1">
      <c r="B28" s="28">
        <v>2021</v>
      </c>
      <c r="C28" s="15">
        <v>1253</v>
      </c>
      <c r="D28" s="16">
        <v>4007</v>
      </c>
      <c r="E28" s="16">
        <f>D28-C28</f>
        <v>2754</v>
      </c>
      <c r="F28" s="16">
        <f>F27+'Sales'!E28</f>
        <v>705</v>
      </c>
      <c r="G28" s="16">
        <v>1078</v>
      </c>
      <c r="H28" s="16">
        <v>2930</v>
      </c>
      <c r="I28" s="16">
        <f>G28+H28-C28-E28</f>
        <v>1</v>
      </c>
      <c r="J28" s="16">
        <f>C28-G28</f>
        <v>175</v>
      </c>
      <c r="K28" s="16"/>
    </row>
    <row r="29" ht="20.05" customHeight="1">
      <c r="B29" s="27"/>
      <c r="C29" s="15">
        <v>797</v>
      </c>
      <c r="D29" s="16">
        <v>3591</v>
      </c>
      <c r="E29" s="16">
        <f>D29-C29</f>
        <v>2794</v>
      </c>
      <c r="F29" s="16">
        <f>F28+'Sales'!E29</f>
        <v>730</v>
      </c>
      <c r="G29" s="16">
        <v>428</v>
      </c>
      <c r="H29" s="16">
        <v>3163</v>
      </c>
      <c r="I29" s="16">
        <f>G29+H29-C29-E29</f>
        <v>0</v>
      </c>
      <c r="J29" s="16">
        <f>C29-G29</f>
        <v>369</v>
      </c>
      <c r="K29" s="16"/>
    </row>
    <row r="30" ht="20.05" customHeight="1">
      <c r="B30" s="27"/>
      <c r="C30" s="13">
        <v>825</v>
      </c>
      <c r="D30" s="16">
        <v>3651</v>
      </c>
      <c r="E30" s="14">
        <f>D30-C30</f>
        <v>2826</v>
      </c>
      <c r="F30" s="16">
        <v>748</v>
      </c>
      <c r="G30" s="14">
        <v>587</v>
      </c>
      <c r="H30" s="14">
        <v>3064</v>
      </c>
      <c r="I30" s="16">
        <f>G30+H30-C30-E30</f>
        <v>0</v>
      </c>
      <c r="J30" s="16">
        <f>C30-G30</f>
        <v>238</v>
      </c>
      <c r="K30" s="16"/>
    </row>
    <row r="31" ht="20.05" customHeight="1">
      <c r="B31" s="27"/>
      <c r="C31" s="15">
        <v>1082</v>
      </c>
      <c r="D31" s="16">
        <v>4069</v>
      </c>
      <c r="E31" s="14">
        <f>D31-C31</f>
        <v>2987</v>
      </c>
      <c r="F31" s="16">
        <v>771</v>
      </c>
      <c r="G31" s="16">
        <v>598</v>
      </c>
      <c r="H31" s="16">
        <v>3471</v>
      </c>
      <c r="I31" s="16">
        <f>G31+H31-C31-E31</f>
        <v>0</v>
      </c>
      <c r="J31" s="16">
        <f>C31-G31</f>
        <v>484</v>
      </c>
      <c r="K31" s="16">
        <f>J31</f>
        <v>484</v>
      </c>
    </row>
    <row r="32" ht="20.05" customHeight="1">
      <c r="B32" s="28">
        <v>2022</v>
      </c>
      <c r="C32" s="15"/>
      <c r="D32" s="16"/>
      <c r="E32" s="16"/>
      <c r="F32" s="16"/>
      <c r="G32" s="16"/>
      <c r="H32" s="16"/>
      <c r="I32" s="33"/>
      <c r="J32" s="33"/>
      <c r="K32" s="16">
        <f>'Model'!F30</f>
        <v>629.032570657280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75781" style="34" customWidth="1"/>
    <col min="2" max="5" width="10.6562" style="34" customWidth="1"/>
    <col min="6" max="16384" width="16.3516" style="34" customWidth="1"/>
  </cols>
  <sheetData>
    <row r="1" ht="28.35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35">
        <v>55</v>
      </c>
      <c r="D3" t="s" s="35">
        <v>56</v>
      </c>
      <c r="E3" t="s" s="35">
        <v>57</v>
      </c>
    </row>
    <row r="4" ht="20.25" customHeight="1">
      <c r="B4" s="23">
        <v>2018</v>
      </c>
      <c r="C4" s="36">
        <v>340</v>
      </c>
      <c r="D4" s="8"/>
      <c r="E4" s="8"/>
    </row>
    <row r="5" ht="20.05" customHeight="1">
      <c r="B5" s="27"/>
      <c r="C5" s="37">
        <v>390</v>
      </c>
      <c r="D5" s="20"/>
      <c r="E5" s="20"/>
    </row>
    <row r="6" ht="20.05" customHeight="1">
      <c r="B6" s="27"/>
      <c r="C6" s="37">
        <v>420</v>
      </c>
      <c r="D6" s="20"/>
      <c r="E6" s="20"/>
    </row>
    <row r="7" ht="20.05" customHeight="1">
      <c r="B7" s="27"/>
      <c r="C7" s="37">
        <v>420</v>
      </c>
      <c r="D7" s="20"/>
      <c r="E7" s="20"/>
    </row>
    <row r="8" ht="20.05" customHeight="1">
      <c r="B8" s="28">
        <v>2019</v>
      </c>
      <c r="C8" s="37">
        <v>500</v>
      </c>
      <c r="D8" s="20"/>
      <c r="E8" s="20"/>
    </row>
    <row r="9" ht="20.05" customHeight="1">
      <c r="B9" s="27"/>
      <c r="C9" s="37">
        <v>502</v>
      </c>
      <c r="D9" s="20"/>
      <c r="E9" s="20"/>
    </row>
    <row r="10" ht="20.05" customHeight="1">
      <c r="B10" s="27"/>
      <c r="C10" s="37">
        <v>615</v>
      </c>
      <c r="D10" s="20"/>
      <c r="E10" s="20"/>
    </row>
    <row r="11" ht="20.05" customHeight="1">
      <c r="B11" s="27"/>
      <c r="C11" s="37">
        <v>638</v>
      </c>
      <c r="D11" s="20"/>
      <c r="E11" s="20"/>
    </row>
    <row r="12" ht="20.05" customHeight="1">
      <c r="B12" s="28">
        <v>2020</v>
      </c>
      <c r="C12" s="37">
        <v>585</v>
      </c>
      <c r="D12" s="20"/>
      <c r="E12" s="20"/>
    </row>
    <row r="13" ht="20.05" customHeight="1">
      <c r="B13" s="27"/>
      <c r="C13" s="37">
        <v>608</v>
      </c>
      <c r="D13" s="20"/>
      <c r="E13" s="20"/>
    </row>
    <row r="14" ht="20.05" customHeight="1">
      <c r="B14" s="27"/>
      <c r="C14" s="15">
        <v>733.359375</v>
      </c>
      <c r="D14" s="20"/>
      <c r="E14" s="20"/>
    </row>
    <row r="15" ht="20.05" customHeight="1">
      <c r="B15" s="27"/>
      <c r="C15" s="15">
        <v>805</v>
      </c>
      <c r="D15" s="20"/>
      <c r="E15" s="20"/>
    </row>
    <row r="16" ht="20.05" customHeight="1">
      <c r="B16" s="28">
        <v>2021</v>
      </c>
      <c r="C16" s="15">
        <v>766.219604</v>
      </c>
      <c r="D16" s="20"/>
      <c r="E16" s="20"/>
    </row>
    <row r="17" ht="20.05" customHeight="1">
      <c r="B17" s="27"/>
      <c r="C17" s="15">
        <v>710</v>
      </c>
      <c r="D17" s="20"/>
      <c r="E17" s="20"/>
    </row>
    <row r="18" ht="20.05" customHeight="1">
      <c r="B18" s="27"/>
      <c r="C18" s="15">
        <v>770</v>
      </c>
      <c r="D18" s="20"/>
      <c r="E18" s="20"/>
    </row>
    <row r="19" ht="20.05" customHeight="1">
      <c r="B19" s="27"/>
      <c r="C19" s="15">
        <v>865</v>
      </c>
      <c r="D19" s="20"/>
      <c r="E19" s="20"/>
    </row>
    <row r="20" ht="20.05" customHeight="1">
      <c r="B20" s="28">
        <v>2022</v>
      </c>
      <c r="C20" s="15">
        <v>935</v>
      </c>
      <c r="D20" s="19">
        <f>C20</f>
        <v>935</v>
      </c>
      <c r="E20" s="16">
        <v>1331.045534240140</v>
      </c>
    </row>
    <row r="21" ht="20.05" customHeight="1">
      <c r="B21" s="27"/>
      <c r="C21" s="15"/>
      <c r="D21" s="16">
        <f>'Model'!F42</f>
        <v>1172.735260115670</v>
      </c>
      <c r="E21" s="2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