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<sst xmlns="http://schemas.openxmlformats.org/spreadsheetml/2006/main" uniqueCount="96">
  <si>
    <t>Financial model</t>
  </si>
  <si>
    <t>Rp bn</t>
  </si>
  <si>
    <t>4Q 2022</t>
  </si>
  <si>
    <t xml:space="preserve">Cashflow </t>
  </si>
  <si>
    <t xml:space="preserve">Growth </t>
  </si>
  <si>
    <t xml:space="preserve">Sales 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</si>
  <si>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</si>
  <si>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</si>
  <si>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</si>
  <si>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</si>
  <si>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</si>
  <si>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</si>
  <si>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</si>
  <si>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</si>
  <si>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</si>
  <si>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</si>
  <si>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</si>
  <si>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 xml:space="preserve">Change 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</si>
  <si>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</si>
  <si>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</si>
  <si>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</si>
  <si>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</si>
  <si>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</si>
  <si>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</si>
  <si>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</si>
  <si>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 xml:space="preserve">Net other assets 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</si>
  <si>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</si>
  <si>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</si>
  <si>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</si>
  <si>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</si>
  <si>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</si>
  <si>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</si>
  <si>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</si>
  <si>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</si>
  <si>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</si>
  <si>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</si>
  <si>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</si>
  <si>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</si>
  <si>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</si>
  <si>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</si>
  <si>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</si>
  <si>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</si>
  <si>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</si>
  <si>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>Sales</t>
  </si>
  <si>
    <t>Rpbn</t>
  </si>
  <si>
    <t>Net profit</t>
  </si>
  <si>
    <t xml:space="preserve">Sales growth </t>
  </si>
  <si>
    <t xml:space="preserve">Cost ratio </t>
  </si>
  <si>
    <t>Cashflow</t>
  </si>
  <si>
    <t>Receipts</t>
  </si>
  <si>
    <t>Interest &amp; leases</t>
  </si>
  <si>
    <t>Finance</t>
  </si>
  <si>
    <t xml:space="preserve">Free cashflow </t>
  </si>
  <si>
    <t>Capital</t>
  </si>
  <si>
    <t xml:space="preserve">Cash </t>
  </si>
  <si>
    <t>Assets</t>
  </si>
  <si>
    <t>Check</t>
  </si>
  <si>
    <t>Net cash</t>
  </si>
  <si>
    <t>Sampoerna Agro Tbk (SGRO) Historical Prices - Investing.com</t>
  </si>
  <si>
    <t xml:space="preserve">SGRO </t>
  </si>
  <si>
    <t>Target</t>
  </si>
  <si>
    <t>Previous</t>
  </si>
  <si>
    <t xml:space="preserve">Total </t>
  </si>
  <si>
    <t>Table 1</t>
  </si>
  <si>
    <t>Market value</t>
  </si>
  <si>
    <t>SGRO</t>
  </si>
  <si>
    <t xml:space="preserve">capital history </t>
  </si>
  <si>
    <t>of market value</t>
  </si>
  <si>
    <t>paid in 1 year.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</si>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</sst>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[$IDR]0"/>
    <numFmt numFmtId="62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7" fontId="0" borderId="6" applyNumberFormat="1" applyFont="1" applyFill="0" applyBorder="1" applyAlignment="1" applyProtection="0">
      <alignment vertical="top" wrapText="1"/>
    </xf>
    <xf numFmtId="37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3" fontId="0" borderId="4" applyNumberFormat="1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f8ba00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5722"/>
          <c:y val="0.0426778"/>
          <c:w val="0.8591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80283"/>
          <c:y val="0.0976567"/>
          <c:w val="0.304128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 '!$E$3:$E$18</c:f>
              <c:numCache>
                <c:ptCount val="16"/>
                <c:pt idx="0">
                  <c:v>-936.000000</c:v>
                </c:pt>
                <c:pt idx="1">
                  <c:v>-936.000000</c:v>
                </c:pt>
                <c:pt idx="2">
                  <c:v>-909.000000</c:v>
                </c:pt>
                <c:pt idx="3">
                  <c:v>-787.000000</c:v>
                </c:pt>
                <c:pt idx="4">
                  <c:v>-718.000000</c:v>
                </c:pt>
                <c:pt idx="5">
                  <c:v>-209.000000</c:v>
                </c:pt>
                <c:pt idx="6">
                  <c:v>151.000000</c:v>
                </c:pt>
                <c:pt idx="7">
                  <c:v>546.000000</c:v>
                </c:pt>
                <c:pt idx="8">
                  <c:v>1632.000000</c:v>
                </c:pt>
                <c:pt idx="9">
                  <c:v>2097.000000</c:v>
                </c:pt>
                <c:pt idx="10">
                  <c:v>1899.000000</c:v>
                </c:pt>
                <c:pt idx="11">
                  <c:v>2518.000000</c:v>
                </c:pt>
                <c:pt idx="12">
                  <c:v>2614.000000</c:v>
                </c:pt>
                <c:pt idx="13">
                  <c:v>2805.000000</c:v>
                </c:pt>
                <c:pt idx="14">
                  <c:v>2001.800000</c:v>
                </c:pt>
                <c:pt idx="15">
                  <c:v>1999.800000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 '!$F$3:$F$18</c:f>
              <c:numCache>
                <c:ptCount val="16"/>
                <c:pt idx="0">
                  <c:v>1080.000000</c:v>
                </c:pt>
                <c:pt idx="1">
                  <c:v>720.000000</c:v>
                </c:pt>
                <c:pt idx="2">
                  <c:v>646.000000</c:v>
                </c:pt>
                <c:pt idx="3">
                  <c:v>561.000000</c:v>
                </c:pt>
                <c:pt idx="4">
                  <c:v>352.000000</c:v>
                </c:pt>
                <c:pt idx="5">
                  <c:v>183.000000</c:v>
                </c:pt>
                <c:pt idx="6">
                  <c:v>94.000000</c:v>
                </c:pt>
                <c:pt idx="7">
                  <c:v>63.000000</c:v>
                </c:pt>
                <c:pt idx="8">
                  <c:v>-78.000000</c:v>
                </c:pt>
                <c:pt idx="9">
                  <c:v>-187.000000</c:v>
                </c:pt>
                <c:pt idx="10">
                  <c:v>-250.000000</c:v>
                </c:pt>
                <c:pt idx="11">
                  <c:v>-388.000000</c:v>
                </c:pt>
                <c:pt idx="12">
                  <c:v>-394.000000</c:v>
                </c:pt>
                <c:pt idx="13">
                  <c:v>-410.000000</c:v>
                </c:pt>
                <c:pt idx="14">
                  <c:v>-414.000000</c:v>
                </c:pt>
                <c:pt idx="15">
                  <c:v>-415.100000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'Capital '!$G$3:$G$18</c:f>
              <c:numCache>
                <c:ptCount val="16"/>
                <c:pt idx="0">
                  <c:v>144.000000</c:v>
                </c:pt>
                <c:pt idx="1">
                  <c:v>-216.000000</c:v>
                </c:pt>
                <c:pt idx="2">
                  <c:v>-263.000000</c:v>
                </c:pt>
                <c:pt idx="3">
                  <c:v>-226.000000</c:v>
                </c:pt>
                <c:pt idx="4">
                  <c:v>-366.000000</c:v>
                </c:pt>
                <c:pt idx="5">
                  <c:v>-26.000000</c:v>
                </c:pt>
                <c:pt idx="6">
                  <c:v>245.000000</c:v>
                </c:pt>
                <c:pt idx="7">
                  <c:v>609.000000</c:v>
                </c:pt>
                <c:pt idx="8">
                  <c:v>1554.000000</c:v>
                </c:pt>
                <c:pt idx="9">
                  <c:v>1910.000000</c:v>
                </c:pt>
                <c:pt idx="10">
                  <c:v>1649.000000</c:v>
                </c:pt>
                <c:pt idx="11">
                  <c:v>2130.000000</c:v>
                </c:pt>
                <c:pt idx="12">
                  <c:v>2220.000000</c:v>
                </c:pt>
                <c:pt idx="13">
                  <c:v>2395.000000</c:v>
                </c:pt>
                <c:pt idx="14">
                  <c:v>1587.800000</c:v>
                </c:pt>
                <c:pt idx="15">
                  <c:v>1584.700000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125"/>
        <c:minorUnit val="56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52494"/>
          <c:y val="0.0442155"/>
          <c:w val="0.37741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696954</xdr:colOff>
      <xdr:row>2</xdr:row>
      <xdr:rowOff>104915</xdr:rowOff>
    </xdr:from>
    <xdr:to>
      <xdr:col>13</xdr:col>
      <xdr:colOff>492045</xdr:colOff>
      <xdr:row>48</xdr:row>
      <xdr:rowOff>214944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11754" y="699910"/>
          <a:ext cx="8507292" cy="118283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21</xdr:col>
      <xdr:colOff>1092116</xdr:colOff>
      <xdr:row>34</xdr:row>
      <xdr:rowOff>42177</xdr:rowOff>
    </xdr:from>
    <xdr:to>
      <xdr:col>24</xdr:col>
      <xdr:colOff>782527</xdr:colOff>
      <xdr:row>47</xdr:row>
      <xdr:rowOff>244310</xdr:rowOff>
    </xdr:to>
    <xdr:graphicFrame>
      <xdr:nvGraphicFramePr>
        <xdr:cNvPr id="4" name="2D Line Chart"/>
        <xdr:cNvGraphicFramePr/>
      </xdr:nvGraphicFramePr>
      <xdr:xfrm>
        <a:off x="19723016" y="8906777"/>
        <a:ext cx="3424212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786247</xdr:colOff>
      <xdr:row>22</xdr:row>
      <xdr:rowOff>293164</xdr:rowOff>
    </xdr:from>
    <xdr:to>
      <xdr:col>4</xdr:col>
      <xdr:colOff>559361</xdr:colOff>
      <xdr:row>31</xdr:row>
      <xdr:rowOff>271765</xdr:rowOff>
    </xdr:to>
    <xdr:graphicFrame>
      <xdr:nvGraphicFramePr>
        <xdr:cNvPr id="6" name="2D Line Chart"/>
        <xdr:cNvGraphicFramePr/>
      </xdr:nvGraphicFramePr>
      <xdr:xfrm>
        <a:off x="786247" y="6096429"/>
        <a:ext cx="3532315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745875</xdr:colOff>
      <xdr:row>20</xdr:row>
      <xdr:rowOff>7708</xdr:rowOff>
    </xdr:from>
    <xdr:to>
      <xdr:col>5</xdr:col>
      <xdr:colOff>146788</xdr:colOff>
      <xdr:row>22</xdr:row>
      <xdr:rowOff>389550</xdr:rowOff>
    </xdr:to>
    <xdr:sp>
      <xdr:nvSpPr>
        <xdr:cNvPr id="7" name="SGRO PAID -19% of market cap in last 12 months"/>
        <xdr:cNvSpPr txBox="1"/>
      </xdr:nvSpPr>
      <xdr:spPr>
        <a:xfrm>
          <a:off x="745875" y="5296623"/>
          <a:ext cx="4099914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SGRO PAID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-19%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of market cap in last 12 months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5625" style="1" customWidth="1"/>
    <col min="2" max="2" width="15.4375" style="1" customWidth="1"/>
    <col min="3" max="6" width="8.28906" style="1" customWidth="1"/>
    <col min="7" max="16384" width="16.3516" style="1" customWidth="1"/>
  </cols>
  <sheetData>
    <row r="1" ht="19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-0.0122968825820074</v>
      </c>
      <c r="D4" s="8"/>
      <c r="E4" s="8"/>
      <c r="F4" s="9">
        <f>AVERAGE(C5:F5)</f>
        <v>0.05</v>
      </c>
    </row>
    <row r="5" ht="20.05" customHeight="1">
      <c r="B5" t="s" s="10">
        <v>4</v>
      </c>
      <c r="C5" s="11">
        <v>0.13</v>
      </c>
      <c r="D5" s="12">
        <v>0.07000000000000001</v>
      </c>
      <c r="E5" s="12">
        <v>0.02</v>
      </c>
      <c r="F5" s="12">
        <v>-0.02</v>
      </c>
    </row>
    <row r="6" ht="20.05" customHeight="1">
      <c r="B6" t="s" s="10">
        <v>5</v>
      </c>
      <c r="C6" s="13">
        <f>'Sales'!C32*(1+C5)</f>
        <v>1422.67</v>
      </c>
      <c r="D6" s="14">
        <f>C6*(1+D5)</f>
        <v>1522.2569</v>
      </c>
      <c r="E6" s="14">
        <f>D6*(1+E5)</f>
        <v>1552.702038</v>
      </c>
      <c r="F6" s="14">
        <f>E6*(1+F5)</f>
        <v>1521.64799724</v>
      </c>
    </row>
    <row r="7" ht="20.05" customHeight="1">
      <c r="B7" t="s" s="10">
        <v>6</v>
      </c>
      <c r="C7" s="15">
        <f>AVERAGE('Sales'!H32)</f>
        <v>-0.732327243844321</v>
      </c>
      <c r="D7" s="16">
        <f>C7</f>
        <v>-0.732327243844321</v>
      </c>
      <c r="E7" s="16">
        <f>D7</f>
        <v>-0.732327243844321</v>
      </c>
      <c r="F7" s="16">
        <f>E7</f>
        <v>-0.732327243844321</v>
      </c>
    </row>
    <row r="8" ht="20.05" customHeight="1">
      <c r="B8" t="s" s="10">
        <v>7</v>
      </c>
      <c r="C8" s="17">
        <f>C6*C7</f>
        <v>-1041.86</v>
      </c>
      <c r="D8" s="18">
        <f>D6*D7</f>
        <v>-1114.7902</v>
      </c>
      <c r="E8" s="18">
        <f>E6*E7</f>
        <v>-1137.086004</v>
      </c>
      <c r="F8" s="18">
        <f>F6*F7</f>
        <v>-1114.34428392</v>
      </c>
    </row>
    <row r="9" ht="20.05" customHeight="1">
      <c r="B9" t="s" s="10">
        <v>8</v>
      </c>
      <c r="C9" s="17">
        <f>C6+C8</f>
        <v>380.81</v>
      </c>
      <c r="D9" s="18">
        <f>D6+D8</f>
        <v>407.4667</v>
      </c>
      <c r="E9" s="18">
        <f>E6+E8</f>
        <v>415.616034</v>
      </c>
      <c r="F9" s="18">
        <f>F6+F8</f>
        <v>407.30371332</v>
      </c>
    </row>
    <row r="10" ht="20.05" customHeight="1">
      <c r="B10" t="s" s="10">
        <v>9</v>
      </c>
      <c r="C10" s="17">
        <f>AVERAGE('Cashflow '!E32)</f>
        <v>-131.2</v>
      </c>
      <c r="D10" s="18">
        <f>C10</f>
        <v>-131.2</v>
      </c>
      <c r="E10" s="18">
        <f>D10</f>
        <v>-131.2</v>
      </c>
      <c r="F10" s="18">
        <f>E10</f>
        <v>-131.2</v>
      </c>
    </row>
    <row r="11" ht="20.05" customHeight="1">
      <c r="B11" t="s" s="10">
        <v>10</v>
      </c>
      <c r="C11" s="17">
        <f>C12+C15+C13</f>
        <v>-249.61</v>
      </c>
      <c r="D11" s="18">
        <f>D12+D15+D13</f>
        <v>-276.2667</v>
      </c>
      <c r="E11" s="18">
        <f>E12+E15+E13</f>
        <v>-284.416034</v>
      </c>
      <c r="F11" s="18">
        <f>F12+F15+F13</f>
        <v>-276.10371332</v>
      </c>
    </row>
    <row r="12" ht="20.05" customHeight="1">
      <c r="B12" t="s" s="10">
        <v>11</v>
      </c>
      <c r="C12" s="17">
        <f>-('Balance sheet'!F31)/20</f>
        <v>-261.25</v>
      </c>
      <c r="D12" s="18">
        <f>-C27/20</f>
        <v>-248.1875</v>
      </c>
      <c r="E12" s="18">
        <f>-D27/20</f>
        <v>-235.778125</v>
      </c>
      <c r="F12" s="18">
        <f>-E27/20</f>
        <v>-223.98921875</v>
      </c>
    </row>
    <row r="13" ht="20.05" customHeight="1">
      <c r="B13" t="s" s="10">
        <v>12</v>
      </c>
      <c r="C13" s="17">
        <f>-MIN(0,C16)</f>
        <v>40.921</v>
      </c>
      <c r="D13" s="18">
        <f>-MIN(C28,D16)</f>
        <v>3.86747</v>
      </c>
      <c r="E13" s="18">
        <f>-MIN(D28,E16)</f>
        <v>-15.8763056</v>
      </c>
      <c r="F13" s="18">
        <f>-MIN(E28,F16)</f>
        <v>-20.184123238</v>
      </c>
    </row>
    <row r="14" ht="20.05" customHeight="1">
      <c r="B14" t="s" s="10">
        <v>13</v>
      </c>
      <c r="C14" s="19">
        <v>0.1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-29.281</v>
      </c>
      <c r="D15" s="18">
        <f>IF(D22&gt;0,-D22*$C$14,0)</f>
        <v>-31.94667</v>
      </c>
      <c r="E15" s="18">
        <f>IF(E22&gt;0,-E22*$C$14,0)</f>
        <v>-32.7616034</v>
      </c>
      <c r="F15" s="18">
        <f>IF(F22&gt;0,-F22*$C$14,0)</f>
        <v>-31.930371332</v>
      </c>
    </row>
    <row r="16" ht="20.05" customHeight="1">
      <c r="B16" t="s" s="10">
        <v>15</v>
      </c>
      <c r="C16" s="17">
        <f>C9+C10+C12+C15</f>
        <v>-40.921</v>
      </c>
      <c r="D16" s="18">
        <f>D9+D10+D12+D15</f>
        <v>-3.86747</v>
      </c>
      <c r="E16" s="18">
        <f>E9+E10+E12+E15</f>
        <v>15.8763056</v>
      </c>
      <c r="F16" s="18">
        <f>F9+F10+F12+F15</f>
        <v>20.184123238</v>
      </c>
    </row>
    <row r="17" ht="20.05" customHeight="1">
      <c r="B17" t="s" s="10">
        <v>16</v>
      </c>
      <c r="C17" s="17">
        <f>'Balance sheet'!B31</f>
        <v>629.6</v>
      </c>
      <c r="D17" s="18">
        <f>C19</f>
        <v>629.6</v>
      </c>
      <c r="E17" s="18">
        <f>D19</f>
        <v>629.6</v>
      </c>
      <c r="F17" s="18">
        <f>E19</f>
        <v>629.6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629.6</v>
      </c>
      <c r="D19" s="18">
        <f>D17+D18</f>
        <v>629.6</v>
      </c>
      <c r="E19" s="18">
        <f>E17+E18</f>
        <v>629.6</v>
      </c>
      <c r="F19" s="18">
        <f>F17+F18</f>
        <v>629.6</v>
      </c>
    </row>
    <row r="20" ht="20.05" customHeight="1">
      <c r="B20" t="s" s="20">
        <v>19</v>
      </c>
      <c r="C20" s="17"/>
      <c r="D20" s="18"/>
      <c r="E20" s="18"/>
      <c r="F20" s="21"/>
    </row>
    <row r="21" ht="20.05" customHeight="1">
      <c r="B21" t="s" s="10">
        <v>20</v>
      </c>
      <c r="C21" s="17">
        <f>-AVERAGE('Sales'!E32)</f>
        <v>-88</v>
      </c>
      <c r="D21" s="18">
        <f>C21</f>
        <v>-88</v>
      </c>
      <c r="E21" s="18">
        <f>D21</f>
        <v>-88</v>
      </c>
      <c r="F21" s="18">
        <f>E21</f>
        <v>-88</v>
      </c>
    </row>
    <row r="22" ht="20.05" customHeight="1">
      <c r="B22" t="s" s="10">
        <v>21</v>
      </c>
      <c r="C22" s="17">
        <f>C6+C8+C21</f>
        <v>292.81</v>
      </c>
      <c r="D22" s="18">
        <f>D6+D8+D21</f>
        <v>319.4667</v>
      </c>
      <c r="E22" s="18">
        <f>E6+E8+E21</f>
        <v>327.616034</v>
      </c>
      <c r="F22" s="18">
        <f>F6+F8+F21</f>
        <v>319.30371332</v>
      </c>
    </row>
    <row r="23" ht="20.05" customHeight="1">
      <c r="B23" t="s" s="20">
        <v>22</v>
      </c>
      <c r="C23" s="17"/>
      <c r="D23" s="18"/>
      <c r="E23" s="18"/>
      <c r="F23" s="21"/>
    </row>
    <row r="24" ht="20.05" customHeight="1">
      <c r="B24" t="s" s="10">
        <v>23</v>
      </c>
      <c r="C24" s="17">
        <f>'Balance sheet'!D31+'Balance sheet'!E31-C10</f>
        <v>13216.6</v>
      </c>
      <c r="D24" s="18">
        <f>C24-D10</f>
        <v>13347.8</v>
      </c>
      <c r="E24" s="18">
        <f>D24-E10</f>
        <v>13479</v>
      </c>
      <c r="F24" s="18">
        <f>E24-F10</f>
        <v>13610.2</v>
      </c>
    </row>
    <row r="25" ht="20.05" customHeight="1">
      <c r="B25" t="s" s="10">
        <v>24</v>
      </c>
      <c r="C25" s="17">
        <f>'Balance sheet'!E31-C21</f>
        <v>3735</v>
      </c>
      <c r="D25" s="18">
        <f>C25-D21</f>
        <v>3823</v>
      </c>
      <c r="E25" s="18">
        <f>D25-E21</f>
        <v>3911</v>
      </c>
      <c r="F25" s="18">
        <f>E25-F21</f>
        <v>3999</v>
      </c>
    </row>
    <row r="26" ht="20.05" customHeight="1">
      <c r="B26" t="s" s="10">
        <v>25</v>
      </c>
      <c r="C26" s="17">
        <f>C24-C25</f>
        <v>9481.6</v>
      </c>
      <c r="D26" s="18">
        <f>D24-D25</f>
        <v>9524.799999999999</v>
      </c>
      <c r="E26" s="18">
        <f>E24-E25</f>
        <v>9568</v>
      </c>
      <c r="F26" s="18">
        <f>F24-F25</f>
        <v>9611.200000000001</v>
      </c>
    </row>
    <row r="27" ht="20.05" customHeight="1">
      <c r="B27" t="s" s="10">
        <v>11</v>
      </c>
      <c r="C27" s="17">
        <f>'Balance sheet'!F31+C12</f>
        <v>4963.75</v>
      </c>
      <c r="D27" s="18">
        <f>C27+D12</f>
        <v>4715.5625</v>
      </c>
      <c r="E27" s="18">
        <f>D27+E12</f>
        <v>4479.784375</v>
      </c>
      <c r="F27" s="18">
        <f>E27+F12</f>
        <v>4255.79515625</v>
      </c>
    </row>
    <row r="28" ht="20.05" customHeight="1">
      <c r="B28" t="s" s="10">
        <v>12</v>
      </c>
      <c r="C28" s="17">
        <f>C13</f>
        <v>40.921</v>
      </c>
      <c r="D28" s="18">
        <f>C28+D13</f>
        <v>44.78847</v>
      </c>
      <c r="E28" s="18">
        <f>D28+E13</f>
        <v>28.9121644</v>
      </c>
      <c r="F28" s="18">
        <f>E28+F13</f>
        <v>8.728041162</v>
      </c>
    </row>
    <row r="29" ht="20.05" customHeight="1">
      <c r="B29" t="s" s="10">
        <v>26</v>
      </c>
      <c r="C29" s="17">
        <f>'Balance sheet'!G31+C22+C15</f>
        <v>5106.529</v>
      </c>
      <c r="D29" s="18">
        <f>C29+D22+D15</f>
        <v>5394.04903</v>
      </c>
      <c r="E29" s="18">
        <f>D29+E22+E15</f>
        <v>5688.9034606</v>
      </c>
      <c r="F29" s="18">
        <f>E29+F22+F15</f>
        <v>5976.276802588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-4375.071</v>
      </c>
      <c r="D31" s="18">
        <f>D19-D27-D28</f>
        <v>-4130.75097</v>
      </c>
      <c r="E31" s="18">
        <f>E19-E27-E28</f>
        <v>-3879.0965394</v>
      </c>
      <c r="F31" s="18">
        <f>F19-F27-F28</f>
        <v>-3634.923197412</v>
      </c>
    </row>
    <row r="32" ht="20.05" customHeight="1">
      <c r="B32" t="s" s="20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 '!M32-C11</f>
        <v>50.81</v>
      </c>
      <c r="D33" s="18">
        <f>C33-D11</f>
        <v>327.0767</v>
      </c>
      <c r="E33" s="18">
        <f>D33-E11</f>
        <v>611.492734</v>
      </c>
      <c r="F33" s="18">
        <f>E33-F11</f>
        <v>887.59644732</v>
      </c>
    </row>
    <row r="34" ht="20.05" customHeight="1">
      <c r="B34" t="s" s="10">
        <v>31</v>
      </c>
      <c r="C34" s="17"/>
      <c r="D34" s="18"/>
      <c r="E34" s="18"/>
      <c r="F34" s="18">
        <v>4055522607104</v>
      </c>
    </row>
    <row r="35" ht="20.05" customHeight="1">
      <c r="B35" t="s" s="10">
        <v>31</v>
      </c>
      <c r="C35" s="17"/>
      <c r="D35" s="18"/>
      <c r="E35" s="18"/>
      <c r="F35" s="18">
        <f>F34/1000000000</f>
        <v>4055.522607104</v>
      </c>
    </row>
    <row r="36" ht="20.05" customHeight="1">
      <c r="B36" t="s" s="10">
        <v>32</v>
      </c>
      <c r="C36" s="17"/>
      <c r="D36" s="18"/>
      <c r="E36" s="18"/>
      <c r="F36" s="22">
        <f>F35/(F19+F26)</f>
        <v>0.396016190835091</v>
      </c>
    </row>
    <row r="37" ht="20.05" customHeight="1">
      <c r="B37" t="s" s="10">
        <v>33</v>
      </c>
      <c r="C37" s="17"/>
      <c r="D37" s="18"/>
      <c r="E37" s="18"/>
      <c r="F37" s="16">
        <f>-(C15+D15+E15+F15)/F35</f>
        <v>0.0310489317730416</v>
      </c>
    </row>
    <row r="38" ht="20.05" customHeight="1">
      <c r="B38" t="s" s="10">
        <v>3</v>
      </c>
      <c r="C38" s="17"/>
      <c r="D38" s="18"/>
      <c r="E38" s="18"/>
      <c r="F38" s="18">
        <f>SUM(C9:F10)</f>
        <v>1086.39644732</v>
      </c>
    </row>
    <row r="39" ht="20.05" customHeight="1">
      <c r="B39" t="s" s="10">
        <v>34</v>
      </c>
      <c r="C39" s="17"/>
      <c r="D39" s="18"/>
      <c r="E39" s="18"/>
      <c r="F39" s="18">
        <f>'Balance sheet'!D31/F38</f>
        <v>8.6878045517208</v>
      </c>
    </row>
    <row r="40" ht="20.05" customHeight="1">
      <c r="B40" t="s" s="10">
        <v>29</v>
      </c>
      <c r="C40" s="17"/>
      <c r="D40" s="18"/>
      <c r="E40" s="18"/>
      <c r="F40" s="18">
        <f>F35/F38</f>
        <v>3.73300429793235</v>
      </c>
    </row>
    <row r="41" ht="20.05" customHeight="1">
      <c r="B41" t="s" s="10">
        <v>35</v>
      </c>
      <c r="C41" s="17"/>
      <c r="D41" s="18"/>
      <c r="E41" s="18"/>
      <c r="F41" s="18">
        <v>9</v>
      </c>
    </row>
    <row r="42" ht="20.05" customHeight="1">
      <c r="B42" t="s" s="10">
        <v>36</v>
      </c>
      <c r="C42" s="17"/>
      <c r="D42" s="18"/>
      <c r="E42" s="18"/>
      <c r="F42" s="18">
        <f>F38*F41</f>
        <v>9777.56802588</v>
      </c>
    </row>
    <row r="43" ht="20.05" customHeight="1">
      <c r="B43" t="s" s="10">
        <v>37</v>
      </c>
      <c r="C43" s="17"/>
      <c r="D43" s="18"/>
      <c r="E43" s="18"/>
      <c r="F43" s="18">
        <f>F35/F45</f>
        <v>1.81862000318565</v>
      </c>
    </row>
    <row r="44" ht="20.05" customHeight="1">
      <c r="B44" t="s" s="10">
        <v>38</v>
      </c>
      <c r="C44" s="17"/>
      <c r="D44" s="18"/>
      <c r="E44" s="18"/>
      <c r="F44" s="18">
        <f>F42/F43</f>
        <v>5376.366700439220</v>
      </c>
    </row>
    <row r="45" ht="20.05" customHeight="1">
      <c r="B45" t="s" s="10">
        <v>39</v>
      </c>
      <c r="C45" s="17"/>
      <c r="D45" s="18"/>
      <c r="E45" s="18"/>
      <c r="F45" s="18">
        <v>2230</v>
      </c>
    </row>
    <row r="46" ht="20.05" customHeight="1">
      <c r="B46" t="s" s="10">
        <v>40</v>
      </c>
      <c r="C46" s="17"/>
      <c r="D46" s="18"/>
      <c r="E46" s="18"/>
      <c r="F46" s="16">
        <f>F44/F45-1</f>
        <v>1.41092677149741</v>
      </c>
    </row>
    <row r="47" ht="20.05" customHeight="1">
      <c r="B47" t="s" s="10">
        <v>41</v>
      </c>
      <c r="C47" s="17"/>
      <c r="D47" s="18"/>
      <c r="E47" s="18"/>
      <c r="F47" s="16">
        <f>'Sales'!C32/'Sales'!C28-1</f>
        <v>-0.0533834586466165</v>
      </c>
    </row>
    <row r="48" ht="20.05" customHeight="1">
      <c r="B48" t="s" s="10">
        <v>42</v>
      </c>
      <c r="C48" s="17"/>
      <c r="D48" s="18"/>
      <c r="E48" s="18"/>
      <c r="F48" s="16">
        <f>'Sales'!F35/'Sales'!E35-1</f>
        <v>0.047460211392624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875" style="23" customWidth="1"/>
    <col min="2" max="2" width="10.0781" style="23" customWidth="1"/>
    <col min="3" max="10" width="9.28906" style="23" customWidth="1"/>
    <col min="11" max="16384" width="16.3516" style="23" customWidth="1"/>
  </cols>
  <sheetData>
    <row r="1" ht="29.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3">
        <v>44</v>
      </c>
      <c r="C3" t="s" s="5">
        <v>43</v>
      </c>
      <c r="D3" t="s" s="5">
        <v>35</v>
      </c>
      <c r="E3" t="s" s="5">
        <v>20</v>
      </c>
      <c r="F3" t="s" s="5">
        <v>45</v>
      </c>
      <c r="G3" t="s" s="5">
        <v>46</v>
      </c>
      <c r="H3" t="s" s="5">
        <v>47</v>
      </c>
      <c r="I3" t="s" s="5">
        <v>47</v>
      </c>
      <c r="J3" t="s" s="5">
        <v>35</v>
      </c>
    </row>
    <row r="4" ht="20.25" customHeight="1">
      <c r="B4" s="24">
        <v>2015</v>
      </c>
      <c r="C4" s="25">
        <v>527</v>
      </c>
      <c r="D4" s="26"/>
      <c r="E4" s="26">
        <v>55.5</v>
      </c>
      <c r="F4" s="27">
        <v>18</v>
      </c>
      <c r="G4" s="9"/>
      <c r="H4" s="28">
        <f>(E4+F4-C4)/C4</f>
        <v>-0.860531309297913</v>
      </c>
      <c r="I4" s="28"/>
      <c r="J4" s="28"/>
    </row>
    <row r="5" ht="20.05" customHeight="1">
      <c r="B5" s="29"/>
      <c r="C5" s="30">
        <v>790</v>
      </c>
      <c r="D5" s="31"/>
      <c r="E5" s="31">
        <v>55.5</v>
      </c>
      <c r="F5" s="18">
        <v>84</v>
      </c>
      <c r="G5" s="16">
        <f>C5/C4-1</f>
        <v>0.499051233396584</v>
      </c>
      <c r="H5" s="16">
        <f>(E5+F5-C5)/C5</f>
        <v>-0.823417721518987</v>
      </c>
      <c r="I5" s="16"/>
      <c r="J5" s="16"/>
    </row>
    <row r="6" ht="20.05" customHeight="1">
      <c r="B6" s="29"/>
      <c r="C6" s="30">
        <v>825</v>
      </c>
      <c r="D6" s="31"/>
      <c r="E6" s="31">
        <v>55.5</v>
      </c>
      <c r="F6" s="18">
        <v>99</v>
      </c>
      <c r="G6" s="16">
        <f>C6/C5-1</f>
        <v>0.0443037974683544</v>
      </c>
      <c r="H6" s="16">
        <f>(E6+F6-C6)/C6</f>
        <v>-0.812727272727273</v>
      </c>
      <c r="I6" s="16"/>
      <c r="J6" s="16"/>
    </row>
    <row r="7" ht="20.05" customHeight="1">
      <c r="B7" s="29"/>
      <c r="C7" s="30">
        <v>857</v>
      </c>
      <c r="D7" s="31"/>
      <c r="E7" s="31">
        <v>55.5</v>
      </c>
      <c r="F7" s="18">
        <v>55</v>
      </c>
      <c r="G7" s="16">
        <f>C7/C6-1</f>
        <v>0.0387878787878788</v>
      </c>
      <c r="H7" s="16">
        <f>(E7+F7-C7)/C7</f>
        <v>-0.871061843640607</v>
      </c>
      <c r="I7" s="16"/>
      <c r="J7" s="16"/>
    </row>
    <row r="8" ht="20.05" customHeight="1">
      <c r="B8" s="32">
        <v>2016</v>
      </c>
      <c r="C8" s="30">
        <v>720</v>
      </c>
      <c r="D8" s="31"/>
      <c r="E8" s="31">
        <v>69.75</v>
      </c>
      <c r="F8" s="18">
        <v>18</v>
      </c>
      <c r="G8" s="16">
        <f>C8/C7-1</f>
        <v>-0.159859976662777</v>
      </c>
      <c r="H8" s="16">
        <f>(E8+F8-C8)/C8</f>
        <v>-0.878125</v>
      </c>
      <c r="I8" s="16"/>
      <c r="J8" s="16"/>
    </row>
    <row r="9" ht="20.05" customHeight="1">
      <c r="B9" s="29"/>
      <c r="C9" s="30">
        <v>356</v>
      </c>
      <c r="D9" s="31"/>
      <c r="E9" s="31">
        <v>69.75</v>
      </c>
      <c r="F9" s="18">
        <v>-94</v>
      </c>
      <c r="G9" s="16">
        <f>C9/C8-1</f>
        <v>-0.505555555555556</v>
      </c>
      <c r="H9" s="16">
        <f>(E9+F9-C9)/C9</f>
        <v>-1.06811797752809</v>
      </c>
      <c r="I9" s="16"/>
      <c r="J9" s="16"/>
    </row>
    <row r="10" ht="20.05" customHeight="1">
      <c r="B10" s="29"/>
      <c r="C10" s="30">
        <v>412</v>
      </c>
      <c r="D10" s="31"/>
      <c r="E10" s="31">
        <v>69.75</v>
      </c>
      <c r="F10" s="18">
        <v>111</v>
      </c>
      <c r="G10" s="16">
        <f>C10/C9-1</f>
        <v>0.157303370786517</v>
      </c>
      <c r="H10" s="16">
        <f>(E10+F10-C10)/C10</f>
        <v>-0.56128640776699</v>
      </c>
      <c r="I10" s="16"/>
      <c r="J10" s="16"/>
    </row>
    <row r="11" ht="20.05" customHeight="1">
      <c r="B11" s="29"/>
      <c r="C11" s="30">
        <v>1427</v>
      </c>
      <c r="D11" s="31"/>
      <c r="E11" s="31">
        <v>69.75</v>
      </c>
      <c r="F11" s="18">
        <v>424</v>
      </c>
      <c r="G11" s="16">
        <f>C11/C10-1</f>
        <v>2.46359223300971</v>
      </c>
      <c r="H11" s="16">
        <f>(E11+F11-C11)/C11</f>
        <v>-0.653994393833217</v>
      </c>
      <c r="I11" s="16"/>
      <c r="J11" s="16"/>
    </row>
    <row r="12" ht="20.05" customHeight="1">
      <c r="B12" s="32">
        <v>2017</v>
      </c>
      <c r="C12" s="30">
        <v>1029</v>
      </c>
      <c r="D12" s="31"/>
      <c r="E12" s="31">
        <v>70.25</v>
      </c>
      <c r="F12" s="18">
        <v>162</v>
      </c>
      <c r="G12" s="16">
        <f>C12/C11-1</f>
        <v>-0.278906797477225</v>
      </c>
      <c r="H12" s="16">
        <f>(E12+F12-C12)/C12</f>
        <v>-0.774295432458698</v>
      </c>
      <c r="I12" s="16"/>
      <c r="J12" s="16"/>
    </row>
    <row r="13" ht="20.05" customHeight="1">
      <c r="B13" s="29"/>
      <c r="C13" s="30">
        <v>583</v>
      </c>
      <c r="D13" s="31"/>
      <c r="E13" s="31">
        <v>70.25</v>
      </c>
      <c r="F13" s="18">
        <v>19</v>
      </c>
      <c r="G13" s="16">
        <f>C13/C12-1</f>
        <v>-0.433430515063168</v>
      </c>
      <c r="H13" s="16">
        <f>(E13+F13-C13)/C13</f>
        <v>-0.846912521440823</v>
      </c>
      <c r="I13" s="16"/>
      <c r="J13" s="16"/>
    </row>
    <row r="14" ht="20.05" customHeight="1">
      <c r="B14" s="29"/>
      <c r="C14" s="30">
        <v>928</v>
      </c>
      <c r="D14" s="31"/>
      <c r="E14" s="31">
        <v>70.25</v>
      </c>
      <c r="F14" s="18">
        <v>52</v>
      </c>
      <c r="G14" s="16">
        <f>C14/C13-1</f>
        <v>0.591766723842196</v>
      </c>
      <c r="H14" s="16">
        <f>(E14+F14-C14)/C14</f>
        <v>-0.868265086206897</v>
      </c>
      <c r="I14" s="16"/>
      <c r="J14" s="16"/>
    </row>
    <row r="15" ht="20.05" customHeight="1">
      <c r="B15" s="29"/>
      <c r="C15" s="30">
        <v>1076</v>
      </c>
      <c r="D15" s="31"/>
      <c r="E15" s="31">
        <v>70.25</v>
      </c>
      <c r="F15" s="18">
        <v>70</v>
      </c>
      <c r="G15" s="16">
        <f>C15/C14-1</f>
        <v>0.15948275862069</v>
      </c>
      <c r="H15" s="16">
        <f>(E15+F15-C15)/C15</f>
        <v>-0.869656133828996</v>
      </c>
      <c r="I15" s="16"/>
      <c r="J15" s="16"/>
    </row>
    <row r="16" ht="20.05" customHeight="1">
      <c r="B16" s="32">
        <v>2018</v>
      </c>
      <c r="C16" s="30">
        <v>668</v>
      </c>
      <c r="D16" s="31"/>
      <c r="E16" s="31">
        <v>75.25</v>
      </c>
      <c r="F16" s="18">
        <v>17</v>
      </c>
      <c r="G16" s="16">
        <f>C16/C15-1</f>
        <v>-0.379182156133829</v>
      </c>
      <c r="H16" s="16">
        <f>(E16+F16-C16)/C16</f>
        <v>-0.86190119760479</v>
      </c>
      <c r="I16" s="16">
        <f>AVERAGE(H13:H16)</f>
        <v>-0.861683734770377</v>
      </c>
      <c r="J16" s="16"/>
    </row>
    <row r="17" ht="20.05" customHeight="1">
      <c r="B17" s="29"/>
      <c r="C17" s="30">
        <v>665</v>
      </c>
      <c r="D17" s="31"/>
      <c r="E17" s="31">
        <v>75.25</v>
      </c>
      <c r="F17" s="18">
        <v>75</v>
      </c>
      <c r="G17" s="16">
        <f>C17/C16-1</f>
        <v>-0.00449101796407186</v>
      </c>
      <c r="H17" s="16">
        <f>(E17+F17-C17)/C17</f>
        <v>-0.77406015037594</v>
      </c>
      <c r="I17" s="16">
        <f>AVERAGE(H14:H17)</f>
        <v>-0.843470642004156</v>
      </c>
      <c r="J17" s="16"/>
    </row>
    <row r="18" ht="20.05" customHeight="1">
      <c r="B18" s="29"/>
      <c r="C18" s="30">
        <v>952</v>
      </c>
      <c r="D18" s="31"/>
      <c r="E18" s="31">
        <v>75.25</v>
      </c>
      <c r="F18" s="18">
        <v>83</v>
      </c>
      <c r="G18" s="16">
        <f>C18/C17-1</f>
        <v>0.431578947368421</v>
      </c>
      <c r="H18" s="16">
        <f>(E18+F18-C18)/C18</f>
        <v>-0.833771008403361</v>
      </c>
      <c r="I18" s="16">
        <f>AVERAGE(H15:H18)</f>
        <v>-0.834847122553272</v>
      </c>
      <c r="J18" s="16"/>
    </row>
    <row r="19" ht="20.05" customHeight="1">
      <c r="B19" s="29"/>
      <c r="C19" s="30">
        <v>922</v>
      </c>
      <c r="D19" s="31"/>
      <c r="E19" s="31">
        <v>75.25</v>
      </c>
      <c r="F19" s="18">
        <v>-111</v>
      </c>
      <c r="G19" s="16">
        <f>C19/C18-1</f>
        <v>-0.0315126050420168</v>
      </c>
      <c r="H19" s="16">
        <f>(E19+F19-C19)/C19</f>
        <v>-1.03877440347072</v>
      </c>
      <c r="I19" s="16">
        <f>AVERAGE(H16:H19)</f>
        <v>-0.877126689963703</v>
      </c>
      <c r="J19" s="16"/>
    </row>
    <row r="20" ht="20.05" customHeight="1">
      <c r="B20" s="32">
        <v>2019</v>
      </c>
      <c r="C20" s="30">
        <v>757</v>
      </c>
      <c r="D20" s="31"/>
      <c r="E20" s="31">
        <v>81.5</v>
      </c>
      <c r="F20" s="18">
        <v>4</v>
      </c>
      <c r="G20" s="16">
        <f>C20/C19-1</f>
        <v>-0.178958785249458</v>
      </c>
      <c r="H20" s="16">
        <f>(E20+F20-C20)/C20</f>
        <v>-0.887054161162483</v>
      </c>
      <c r="I20" s="16">
        <f>AVERAGE(H17:H20)</f>
        <v>-0.8834149308531259</v>
      </c>
      <c r="J20" s="16"/>
    </row>
    <row r="21" ht="20.05" customHeight="1">
      <c r="B21" s="29"/>
      <c r="C21" s="30">
        <v>607</v>
      </c>
      <c r="D21" s="31"/>
      <c r="E21" s="31">
        <v>81.5</v>
      </c>
      <c r="F21" s="18">
        <v>-22.2</v>
      </c>
      <c r="G21" s="16">
        <f>C21/C20-1</f>
        <v>-0.198150594451783</v>
      </c>
      <c r="H21" s="16">
        <f>(E21+F21-C21)/C21</f>
        <v>-0.902306425041186</v>
      </c>
      <c r="I21" s="16">
        <f>AVERAGE(H18:H21)</f>
        <v>-0.915476499519438</v>
      </c>
      <c r="J21" s="16"/>
    </row>
    <row r="22" ht="20.05" customHeight="1">
      <c r="B22" s="29"/>
      <c r="C22" s="30">
        <v>903</v>
      </c>
      <c r="D22" s="31"/>
      <c r="E22" s="31">
        <v>81.5</v>
      </c>
      <c r="F22" s="18">
        <v>36.2</v>
      </c>
      <c r="G22" s="16">
        <f>C22/C21-1</f>
        <v>0.487644151565074</v>
      </c>
      <c r="H22" s="16">
        <f>(E22+F22-C22)/C22</f>
        <v>-0.869656699889258</v>
      </c>
      <c r="I22" s="16">
        <f>AVERAGE(H19:H22)</f>
        <v>-0.924447922390912</v>
      </c>
      <c r="J22" s="16"/>
    </row>
    <row r="23" ht="20.05" customHeight="1">
      <c r="B23" s="29"/>
      <c r="C23" s="30">
        <v>1001</v>
      </c>
      <c r="D23" s="31">
        <v>968.1</v>
      </c>
      <c r="E23" s="31">
        <v>81.5</v>
      </c>
      <c r="F23" s="18">
        <v>22</v>
      </c>
      <c r="G23" s="16">
        <f>C23/C22-1</f>
        <v>0.108527131782946</v>
      </c>
      <c r="H23" s="16">
        <f>(E23+F23-C23)/C23</f>
        <v>-0.8966033966033971</v>
      </c>
      <c r="I23" s="16">
        <f>AVERAGE(H20:H23)</f>
        <v>-0.888905170674081</v>
      </c>
      <c r="J23" s="16"/>
    </row>
    <row r="24" ht="20.05" customHeight="1">
      <c r="B24" s="32">
        <v>2020</v>
      </c>
      <c r="C24" s="30">
        <v>903.8</v>
      </c>
      <c r="D24" s="31">
        <v>840.27</v>
      </c>
      <c r="E24" s="31">
        <v>83.6666666666667</v>
      </c>
      <c r="F24" s="18">
        <v>2</v>
      </c>
      <c r="G24" s="16">
        <f>C24/C23-1</f>
        <v>-0.0971028971028971</v>
      </c>
      <c r="H24" s="16">
        <f>(E24+F24-C24)/C24</f>
        <v>-0.905215018071845</v>
      </c>
      <c r="I24" s="16">
        <f>AVERAGE(H21:H24)</f>
        <v>-0.893445384901422</v>
      </c>
      <c r="J24" s="16"/>
    </row>
    <row r="25" ht="20.05" customHeight="1">
      <c r="B25" s="29"/>
      <c r="C25" s="30">
        <v>698.636</v>
      </c>
      <c r="D25" s="31">
        <v>910.5</v>
      </c>
      <c r="E25" s="31">
        <v>83.6666666666667</v>
      </c>
      <c r="F25" s="18">
        <v>2.94</v>
      </c>
      <c r="G25" s="16">
        <f>C25/C24-1</f>
        <v>-0.227001549015269</v>
      </c>
      <c r="H25" s="16">
        <f>(E25+F25-C25)/C25</f>
        <v>-0.87603463510803</v>
      </c>
      <c r="I25" s="16">
        <f>AVERAGE(H22:H25)</f>
        <v>-0.886877437418133</v>
      </c>
      <c r="J25" s="16"/>
    </row>
    <row r="26" ht="20.05" customHeight="1">
      <c r="B26" s="29"/>
      <c r="C26" s="30">
        <v>654.564</v>
      </c>
      <c r="D26" s="31">
        <v>873.295</v>
      </c>
      <c r="E26" s="31">
        <v>83.6666666666667</v>
      </c>
      <c r="F26" s="18">
        <f>25-F25-F24</f>
        <v>20.06</v>
      </c>
      <c r="G26" s="16">
        <f>C26/C25-1</f>
        <v>-0.0630829215786189</v>
      </c>
      <c r="H26" s="16">
        <f>(E26+F26-C26)/C26</f>
        <v>-0.841533193596552</v>
      </c>
      <c r="I26" s="16">
        <f>AVERAGE(H23:H26)</f>
        <v>-0.879846560844956</v>
      </c>
      <c r="J26" s="16"/>
    </row>
    <row r="27" ht="20.05" customHeight="1">
      <c r="B27" s="29"/>
      <c r="C27" s="30">
        <v>1245</v>
      </c>
      <c r="D27" s="31">
        <v>1014.5742</v>
      </c>
      <c r="E27" s="31">
        <v>417</v>
      </c>
      <c r="F27" s="18">
        <f>-191.7-SUM(F24:F26)</f>
        <v>-216.7</v>
      </c>
      <c r="G27" s="16">
        <f>C27/C26-1</f>
        <v>0.902029442499129</v>
      </c>
      <c r="H27" s="16">
        <f>(E27+F27-C27)/C27</f>
        <v>-0.839116465863454</v>
      </c>
      <c r="I27" s="16">
        <f>AVERAGE(H24:H27)</f>
        <v>-0.86547482815997</v>
      </c>
      <c r="J27" s="16"/>
    </row>
    <row r="28" ht="20.05" customHeight="1">
      <c r="B28" s="32">
        <v>2021</v>
      </c>
      <c r="C28" s="30">
        <v>1330</v>
      </c>
      <c r="D28" s="31">
        <v>1182.75</v>
      </c>
      <c r="E28" s="31">
        <v>86</v>
      </c>
      <c r="F28" s="18">
        <v>213</v>
      </c>
      <c r="G28" s="16">
        <f>C28/C27-1</f>
        <v>0.0682730923694779</v>
      </c>
      <c r="H28" s="16">
        <f>(E28+F28-C28)/C28</f>
        <v>-0.775187969924812</v>
      </c>
      <c r="I28" s="16">
        <f>AVERAGE(H25:H28)</f>
        <v>-0.8329680661232119</v>
      </c>
      <c r="J28" s="16"/>
    </row>
    <row r="29" ht="20.05" customHeight="1">
      <c r="B29" s="29"/>
      <c r="C29" s="30">
        <f>2666.6-C28</f>
        <v>1336.6</v>
      </c>
      <c r="D29" s="31">
        <f>'Model'!C6</f>
        <v>1422.67</v>
      </c>
      <c r="E29" s="31">
        <f>173.1-E28</f>
        <v>87.09999999999999</v>
      </c>
      <c r="F29" s="18">
        <f>395.8-F28</f>
        <v>182.8</v>
      </c>
      <c r="G29" s="16">
        <f>C29/C28-1</f>
        <v>0.00496240601503759</v>
      </c>
      <c r="H29" s="16">
        <f>(E29+F29-C29)/C29</f>
        <v>-0.798069729163549</v>
      </c>
      <c r="I29" s="16">
        <f>AVERAGE(H26:H29)</f>
        <v>-0.8134768396370921</v>
      </c>
      <c r="J29" s="16"/>
    </row>
    <row r="30" ht="20.05" customHeight="1">
      <c r="B30" s="29"/>
      <c r="C30" s="30">
        <f>3905.7-SUM(C28:C29)</f>
        <v>1239.1</v>
      </c>
      <c r="D30" s="14">
        <v>1443.528</v>
      </c>
      <c r="E30" s="31">
        <f>259.9-SUM(E28:E29)</f>
        <v>86.8</v>
      </c>
      <c r="F30" s="18">
        <f>521.2-SUM(F28:F29)</f>
        <v>125.4</v>
      </c>
      <c r="G30" s="16">
        <f>C30/C29-1</f>
        <v>-0.0729462816100554</v>
      </c>
      <c r="H30" s="16">
        <f>(E30+F30-C30)/C30</f>
        <v>-0.828746670970866</v>
      </c>
      <c r="I30" s="16">
        <f>AVERAGE(H27:H30)</f>
        <v>-0.81028020898067</v>
      </c>
      <c r="J30" s="16"/>
    </row>
    <row r="31" ht="20.05" customHeight="1">
      <c r="B31" s="29"/>
      <c r="C31" s="30">
        <f>5222.3-SUM(C28:C30)</f>
        <v>1316.6</v>
      </c>
      <c r="D31" s="14">
        <v>1424.965</v>
      </c>
      <c r="E31" s="31">
        <f>350.7-SUM(E28:E30)</f>
        <v>90.8</v>
      </c>
      <c r="F31" s="18">
        <f>814.7-SUM(F28:F30)</f>
        <v>293.5</v>
      </c>
      <c r="G31" s="16">
        <f>C31/C30-1</f>
        <v>0.0625453958518279</v>
      </c>
      <c r="H31" s="16">
        <f>(E31+F31-C31)/C31</f>
        <v>-0.708111803129272</v>
      </c>
      <c r="I31" s="16">
        <f>AVERAGE(H28:H31)</f>
        <v>-0.777529043297125</v>
      </c>
      <c r="J31" s="16"/>
    </row>
    <row r="32" ht="20.05" customHeight="1">
      <c r="B32" s="32">
        <v>2022</v>
      </c>
      <c r="C32" s="30">
        <v>1259</v>
      </c>
      <c r="D32" s="14">
        <v>1424.965</v>
      </c>
      <c r="E32" s="31">
        <v>88</v>
      </c>
      <c r="F32" s="18">
        <v>249</v>
      </c>
      <c r="G32" s="16">
        <f>C32/C31-1</f>
        <v>-0.0437490505848397</v>
      </c>
      <c r="H32" s="16">
        <f>(E32+F32-C32)/C32</f>
        <v>-0.732327243844321</v>
      </c>
      <c r="I32" s="16">
        <f>AVERAGE(H29:H32)</f>
        <v>-0.7668138617770019</v>
      </c>
      <c r="J32" s="16">
        <f>I32</f>
        <v>-0.7668138617770019</v>
      </c>
    </row>
    <row r="33" ht="20.05" customHeight="1">
      <c r="B33" s="29"/>
      <c r="C33" s="30"/>
      <c r="D33" s="14">
        <f>'Model'!C6</f>
        <v>1422.67</v>
      </c>
      <c r="E33" s="31"/>
      <c r="F33" s="18"/>
      <c r="G33" s="12"/>
      <c r="H33" s="12"/>
      <c r="I33" s="16"/>
      <c r="J33" s="16">
        <f>'Model'!C7</f>
        <v>-0.732327243844321</v>
      </c>
    </row>
    <row r="34" ht="20.05" customHeight="1">
      <c r="B34" s="29"/>
      <c r="C34" s="30"/>
      <c r="D34" s="31">
        <f>'Model'!D6</f>
        <v>1522.2569</v>
      </c>
      <c r="E34" s="31"/>
      <c r="F34" s="18"/>
      <c r="G34" s="12"/>
      <c r="H34" s="12"/>
      <c r="I34" s="16"/>
      <c r="J34" s="16"/>
    </row>
    <row r="35" ht="20.05" customHeight="1">
      <c r="B35" s="29"/>
      <c r="C35" s="30"/>
      <c r="D35" s="31">
        <f>'Model'!E6</f>
        <v>1552.702038</v>
      </c>
      <c r="E35" s="31">
        <f>SUM(C23:C32)</f>
        <v>10984.3</v>
      </c>
      <c r="F35" s="31">
        <f>SUM(D23:D32)</f>
        <v>11505.6172</v>
      </c>
      <c r="G35" s="12"/>
      <c r="H35" s="12"/>
      <c r="I35" s="16"/>
      <c r="J35" s="16"/>
    </row>
    <row r="36" ht="20.05" customHeight="1">
      <c r="B36" s="32">
        <v>2023</v>
      </c>
      <c r="C36" s="30"/>
      <c r="D36" s="31">
        <f>'Model'!F6</f>
        <v>1521.64799724</v>
      </c>
      <c r="E36" s="31"/>
      <c r="F36" s="18"/>
      <c r="G36" s="12"/>
      <c r="H36" s="12"/>
      <c r="I36" s="16"/>
      <c r="J36" s="16"/>
    </row>
    <row r="37" ht="20.05" customHeight="1">
      <c r="B37" s="29"/>
      <c r="C37" s="30"/>
      <c r="D37" s="21"/>
      <c r="E37" s="31"/>
      <c r="F37" s="18"/>
      <c r="G37" s="12"/>
      <c r="H37" s="12"/>
      <c r="I37" s="16"/>
      <c r="J37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0781" style="33" customWidth="1"/>
    <col min="2" max="2" width="7.71875" style="33" customWidth="1"/>
    <col min="3" max="15" width="10.3516" style="33" customWidth="1"/>
    <col min="16" max="16384" width="16.3516" style="33" customWidth="1"/>
  </cols>
  <sheetData>
    <row r="1" ht="16.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3">
        <v>44</v>
      </c>
      <c r="C3" t="s" s="5">
        <v>49</v>
      </c>
      <c r="D3" t="s" s="5">
        <v>8</v>
      </c>
      <c r="E3" t="s" s="5">
        <v>9</v>
      </c>
      <c r="F3" t="s" s="5">
        <v>50</v>
      </c>
      <c r="G3" t="s" s="5">
        <v>11</v>
      </c>
      <c r="H3" t="s" s="5">
        <v>14</v>
      </c>
      <c r="I3" t="s" s="5">
        <v>51</v>
      </c>
      <c r="J3" t="s" s="5">
        <v>52</v>
      </c>
      <c r="K3" t="s" s="5">
        <v>3</v>
      </c>
      <c r="L3" t="s" s="5">
        <v>35</v>
      </c>
      <c r="M3" t="s" s="5">
        <v>53</v>
      </c>
      <c r="N3" t="s" s="5">
        <v>35</v>
      </c>
      <c r="O3" s="34"/>
    </row>
    <row r="4" ht="20.25" customHeight="1">
      <c r="B4" s="24">
        <v>2015</v>
      </c>
      <c r="C4" s="35"/>
      <c r="D4" s="27">
        <v>-71</v>
      </c>
      <c r="E4" s="27">
        <v>-205</v>
      </c>
      <c r="F4" s="27">
        <v>0</v>
      </c>
      <c r="G4" s="27"/>
      <c r="H4" s="27"/>
      <c r="I4" s="27">
        <v>103</v>
      </c>
      <c r="J4" s="27">
        <f>D4+F4+E4</f>
        <v>-276</v>
      </c>
      <c r="K4" s="27"/>
      <c r="L4" s="27"/>
      <c r="M4" s="27">
        <f>-(I4-F4)</f>
        <v>-103</v>
      </c>
      <c r="N4" s="27"/>
      <c r="O4" s="27">
        <v>1</v>
      </c>
    </row>
    <row r="5" ht="20.05" customHeight="1">
      <c r="B5" s="29"/>
      <c r="C5" s="17"/>
      <c r="D5" s="18">
        <v>31</v>
      </c>
      <c r="E5" s="18">
        <v>-274</v>
      </c>
      <c r="F5" s="18">
        <v>0</v>
      </c>
      <c r="G5" s="18"/>
      <c r="H5" s="18"/>
      <c r="I5" s="18">
        <v>314</v>
      </c>
      <c r="J5" s="18">
        <f>D5+F5+E5</f>
        <v>-243</v>
      </c>
      <c r="K5" s="18"/>
      <c r="L5" s="18"/>
      <c r="M5" s="18">
        <f>-(I5-F5)+M4</f>
        <v>-417</v>
      </c>
      <c r="N5" s="18"/>
      <c r="O5" s="18">
        <f>1+O4</f>
        <v>2</v>
      </c>
    </row>
    <row r="6" ht="20.05" customHeight="1">
      <c r="B6" s="29"/>
      <c r="C6" s="17"/>
      <c r="D6" s="18">
        <v>16</v>
      </c>
      <c r="E6" s="18">
        <v>-250</v>
      </c>
      <c r="F6" s="18">
        <v>0</v>
      </c>
      <c r="G6" s="18"/>
      <c r="H6" s="18"/>
      <c r="I6" s="18">
        <v>52</v>
      </c>
      <c r="J6" s="18">
        <f>D6+F6+E6</f>
        <v>-234</v>
      </c>
      <c r="K6" s="18"/>
      <c r="L6" s="18"/>
      <c r="M6" s="18">
        <f>-(I6-F6)+M5</f>
        <v>-469</v>
      </c>
      <c r="N6" s="18"/>
      <c r="O6" s="18">
        <f>1+O5</f>
        <v>3</v>
      </c>
    </row>
    <row r="7" ht="20.05" customHeight="1">
      <c r="B7" s="29"/>
      <c r="C7" s="17"/>
      <c r="D7" s="18">
        <v>158</v>
      </c>
      <c r="E7" s="18">
        <v>-374</v>
      </c>
      <c r="F7" s="18">
        <v>0</v>
      </c>
      <c r="G7" s="18"/>
      <c r="H7" s="18"/>
      <c r="I7" s="18">
        <v>816</v>
      </c>
      <c r="J7" s="18">
        <f>D7+F7+E7</f>
        <v>-216</v>
      </c>
      <c r="K7" s="18"/>
      <c r="L7" s="18"/>
      <c r="M7" s="18">
        <f>-(I7-F7)+M6</f>
        <v>-1285</v>
      </c>
      <c r="N7" s="18"/>
      <c r="O7" s="18">
        <f>1+O6</f>
        <v>4</v>
      </c>
    </row>
    <row r="8" ht="20.05" customHeight="1">
      <c r="B8" s="32">
        <v>2016</v>
      </c>
      <c r="C8" s="17"/>
      <c r="D8" s="18">
        <v>-31</v>
      </c>
      <c r="E8" s="18">
        <v>-148</v>
      </c>
      <c r="F8" s="18">
        <v>0</v>
      </c>
      <c r="G8" s="18"/>
      <c r="H8" s="18"/>
      <c r="I8" s="18">
        <v>-39</v>
      </c>
      <c r="J8" s="18">
        <f>D8+F8+E8</f>
        <v>-179</v>
      </c>
      <c r="K8" s="18"/>
      <c r="L8" s="18"/>
      <c r="M8" s="18">
        <f>-(I8-F8)+M7</f>
        <v>-1246</v>
      </c>
      <c r="N8" s="18"/>
      <c r="O8" s="18">
        <f>1+O7</f>
        <v>5</v>
      </c>
    </row>
    <row r="9" ht="20.05" customHeight="1">
      <c r="B9" s="29"/>
      <c r="C9" s="17"/>
      <c r="D9" s="18">
        <v>-108</v>
      </c>
      <c r="E9" s="18">
        <v>-258</v>
      </c>
      <c r="F9" s="18">
        <v>0</v>
      </c>
      <c r="G9" s="18"/>
      <c r="H9" s="18"/>
      <c r="I9" s="18">
        <v>343</v>
      </c>
      <c r="J9" s="18">
        <f>D9+F9+E9</f>
        <v>-366</v>
      </c>
      <c r="K9" s="18"/>
      <c r="L9" s="18"/>
      <c r="M9" s="18">
        <f>-(I9-F9)+M8</f>
        <v>-1589</v>
      </c>
      <c r="N9" s="18"/>
      <c r="O9" s="18">
        <f>1+O8</f>
        <v>6</v>
      </c>
    </row>
    <row r="10" ht="20.05" customHeight="1">
      <c r="B10" s="29"/>
      <c r="C10" s="17"/>
      <c r="D10" s="18">
        <v>-95</v>
      </c>
      <c r="E10" s="18">
        <v>-158</v>
      </c>
      <c r="F10" s="18">
        <v>0</v>
      </c>
      <c r="G10" s="18"/>
      <c r="H10" s="18"/>
      <c r="I10" s="18">
        <v>103</v>
      </c>
      <c r="J10" s="18">
        <f>D10+F10+E10</f>
        <v>-253</v>
      </c>
      <c r="K10" s="18"/>
      <c r="L10" s="18"/>
      <c r="M10" s="18">
        <f>-(I10-F10)+M9</f>
        <v>-1692</v>
      </c>
      <c r="N10" s="18"/>
      <c r="O10" s="18">
        <f>1+O9</f>
        <v>7</v>
      </c>
    </row>
    <row r="11" ht="20.05" customHeight="1">
      <c r="B11" s="29"/>
      <c r="C11" s="17"/>
      <c r="D11" s="18">
        <v>430</v>
      </c>
      <c r="E11" s="18">
        <v>-131</v>
      </c>
      <c r="F11" s="18">
        <v>0</v>
      </c>
      <c r="G11" s="18"/>
      <c r="H11" s="18"/>
      <c r="I11" s="18">
        <v>-123</v>
      </c>
      <c r="J11" s="18">
        <f>D11+F11+E11</f>
        <v>299</v>
      </c>
      <c r="K11" s="18"/>
      <c r="L11" s="18"/>
      <c r="M11" s="18">
        <f>-(I11-F11)+M10</f>
        <v>-1569</v>
      </c>
      <c r="N11" s="18"/>
      <c r="O11" s="18">
        <f>1+O10</f>
        <v>8</v>
      </c>
    </row>
    <row r="12" ht="20.05" customHeight="1">
      <c r="B12" s="32">
        <v>2017</v>
      </c>
      <c r="C12" s="17"/>
      <c r="D12" s="18">
        <v>-12</v>
      </c>
      <c r="E12" s="18">
        <v>-128</v>
      </c>
      <c r="F12" s="18">
        <v>0</v>
      </c>
      <c r="G12" s="18"/>
      <c r="H12" s="18"/>
      <c r="I12" s="18">
        <v>-307</v>
      </c>
      <c r="J12" s="18">
        <f>D12+F12+E12</f>
        <v>-140</v>
      </c>
      <c r="K12" s="18">
        <f>AVERAGE(J9:J12)</f>
        <v>-115</v>
      </c>
      <c r="L12" s="18"/>
      <c r="M12" s="18">
        <f>-(I12-F12)+M11</f>
        <v>-1262</v>
      </c>
      <c r="N12" s="18"/>
      <c r="O12" s="18">
        <f>1+O11</f>
        <v>9</v>
      </c>
    </row>
    <row r="13" ht="20.05" customHeight="1">
      <c r="B13" s="29"/>
      <c r="C13" s="17"/>
      <c r="D13" s="18">
        <v>-48</v>
      </c>
      <c r="E13" s="18">
        <v>-154</v>
      </c>
      <c r="F13" s="18">
        <v>0</v>
      </c>
      <c r="G13" s="18"/>
      <c r="H13" s="18"/>
      <c r="I13" s="18">
        <v>507</v>
      </c>
      <c r="J13" s="18">
        <f>D13+F13+E13</f>
        <v>-202</v>
      </c>
      <c r="K13" s="18">
        <f>AVERAGE(J10:J13)</f>
        <v>-74</v>
      </c>
      <c r="L13" s="18"/>
      <c r="M13" s="18">
        <f>-(I13-F13)+M12</f>
        <v>-1769</v>
      </c>
      <c r="N13" s="18"/>
      <c r="O13" s="18">
        <f>1+O12</f>
        <v>10</v>
      </c>
    </row>
    <row r="14" ht="20.05" customHeight="1">
      <c r="B14" s="29"/>
      <c r="C14" s="17"/>
      <c r="D14" s="18">
        <v>245</v>
      </c>
      <c r="E14" s="18">
        <v>-150</v>
      </c>
      <c r="F14" s="18">
        <v>0</v>
      </c>
      <c r="G14" s="18"/>
      <c r="H14" s="18"/>
      <c r="I14" s="18">
        <v>-624</v>
      </c>
      <c r="J14" s="18">
        <f>D14+F14+E14</f>
        <v>95</v>
      </c>
      <c r="K14" s="18">
        <f>AVERAGE(J11:J14)</f>
        <v>13</v>
      </c>
      <c r="L14" s="18"/>
      <c r="M14" s="18">
        <f>-(I14-F14)+M13</f>
        <v>-1145</v>
      </c>
      <c r="N14" s="18"/>
      <c r="O14" s="18">
        <f>1+O13</f>
        <v>11</v>
      </c>
    </row>
    <row r="15" ht="20.05" customHeight="1">
      <c r="B15" s="29"/>
      <c r="C15" s="17"/>
      <c r="D15" s="18">
        <v>300</v>
      </c>
      <c r="E15" s="18">
        <v>-186</v>
      </c>
      <c r="F15" s="18">
        <v>0</v>
      </c>
      <c r="G15" s="18"/>
      <c r="H15" s="18"/>
      <c r="I15" s="18">
        <v>-161</v>
      </c>
      <c r="J15" s="18">
        <f>D15+F15+E15</f>
        <v>114</v>
      </c>
      <c r="K15" s="18">
        <f>AVERAGE(J12:J15)</f>
        <v>-33.25</v>
      </c>
      <c r="L15" s="18"/>
      <c r="M15" s="18">
        <f>-(I15-F15)+M14</f>
        <v>-984</v>
      </c>
      <c r="N15" s="18"/>
      <c r="O15" s="18">
        <f>1+O14</f>
        <v>12</v>
      </c>
    </row>
    <row r="16" ht="20.05" customHeight="1">
      <c r="B16" s="32">
        <v>2018</v>
      </c>
      <c r="C16" s="17">
        <v>0</v>
      </c>
      <c r="D16" s="18">
        <v>-27</v>
      </c>
      <c r="E16" s="18">
        <v>-162</v>
      </c>
      <c r="F16" s="18">
        <v>0</v>
      </c>
      <c r="G16" s="18"/>
      <c r="H16" s="18"/>
      <c r="I16" s="18">
        <v>-75</v>
      </c>
      <c r="J16" s="18">
        <f>D16+F16+E16</f>
        <v>-189</v>
      </c>
      <c r="K16" s="18">
        <f>AVERAGE(J13:J16)</f>
        <v>-45.5</v>
      </c>
      <c r="L16" s="18"/>
      <c r="M16" s="18">
        <f>-(I16-F16)+M15</f>
        <v>-909</v>
      </c>
      <c r="N16" s="18"/>
      <c r="O16" s="18">
        <f>1+O15</f>
        <v>13</v>
      </c>
    </row>
    <row r="17" ht="20.05" customHeight="1">
      <c r="B17" s="29"/>
      <c r="C17" s="17">
        <v>1401</v>
      </c>
      <c r="D17" s="18">
        <v>-84</v>
      </c>
      <c r="E17" s="18">
        <v>-217</v>
      </c>
      <c r="F17" s="18">
        <v>0</v>
      </c>
      <c r="G17" s="18"/>
      <c r="H17" s="18"/>
      <c r="I17" s="18">
        <v>207</v>
      </c>
      <c r="J17" s="18">
        <f>D17+F17+E17</f>
        <v>-301</v>
      </c>
      <c r="K17" s="18">
        <f>AVERAGE(J14:J17)</f>
        <v>-70.25</v>
      </c>
      <c r="L17" s="18"/>
      <c r="M17" s="18">
        <f>-(I17-F17)+M16</f>
        <v>-1116</v>
      </c>
      <c r="N17" s="18"/>
      <c r="O17" s="18">
        <f>1+O16</f>
        <v>14</v>
      </c>
    </row>
    <row r="18" ht="20.05" customHeight="1">
      <c r="B18" s="29"/>
      <c r="C18" s="17">
        <v>775</v>
      </c>
      <c r="D18" s="18">
        <v>-45</v>
      </c>
      <c r="E18" s="18">
        <v>-246</v>
      </c>
      <c r="F18" s="18">
        <v>0</v>
      </c>
      <c r="G18" s="18"/>
      <c r="H18" s="18"/>
      <c r="I18" s="18">
        <v>89</v>
      </c>
      <c r="J18" s="18">
        <f>D18+F18+E18</f>
        <v>-291</v>
      </c>
      <c r="K18" s="18">
        <f>AVERAGE(J15:J18)</f>
        <v>-166.75</v>
      </c>
      <c r="L18" s="18"/>
      <c r="M18" s="18">
        <f>-(I18-F18)+M17</f>
        <v>-1205</v>
      </c>
      <c r="N18" s="18"/>
      <c r="O18" s="18">
        <f>1+O17</f>
        <v>15</v>
      </c>
    </row>
    <row r="19" ht="20.05" customHeight="1">
      <c r="B19" s="29"/>
      <c r="C19" s="17">
        <v>1083</v>
      </c>
      <c r="D19" s="18">
        <v>226</v>
      </c>
      <c r="E19" s="18">
        <v>-127</v>
      </c>
      <c r="F19" s="18">
        <v>0</v>
      </c>
      <c r="G19" s="18"/>
      <c r="H19" s="18"/>
      <c r="I19" s="18">
        <v>-86</v>
      </c>
      <c r="J19" s="18">
        <f>D19+F19+E19</f>
        <v>99</v>
      </c>
      <c r="K19" s="18">
        <f>AVERAGE(J16:J19)</f>
        <v>-170.5</v>
      </c>
      <c r="L19" s="18"/>
      <c r="M19" s="18">
        <f>-(I19-F19)+M18</f>
        <v>-1119</v>
      </c>
      <c r="N19" s="18"/>
      <c r="O19" s="18">
        <f>1+O18</f>
        <v>16</v>
      </c>
    </row>
    <row r="20" ht="20.05" customHeight="1">
      <c r="B20" s="32">
        <v>2019</v>
      </c>
      <c r="C20" s="17">
        <v>762</v>
      </c>
      <c r="D20" s="18">
        <v>35</v>
      </c>
      <c r="E20" s="18">
        <v>-138</v>
      </c>
      <c r="F20" s="18">
        <v>0</v>
      </c>
      <c r="G20" s="18"/>
      <c r="H20" s="18"/>
      <c r="I20" s="18">
        <v>-114</v>
      </c>
      <c r="J20" s="18">
        <f>D20+F20+E20</f>
        <v>-103</v>
      </c>
      <c r="K20" s="18">
        <f>AVERAGE(J17:J20)</f>
        <v>-149</v>
      </c>
      <c r="L20" s="18"/>
      <c r="M20" s="18">
        <f>-(I20-F20)+M19</f>
        <v>-1005</v>
      </c>
      <c r="N20" s="18"/>
      <c r="O20" s="18">
        <f>1+O19</f>
        <v>17</v>
      </c>
    </row>
    <row r="21" ht="20.05" customHeight="1">
      <c r="B21" s="29"/>
      <c r="C21" s="17">
        <v>582</v>
      </c>
      <c r="D21" s="18">
        <v>-145.1</v>
      </c>
      <c r="E21" s="18">
        <v>-174</v>
      </c>
      <c r="F21" s="18">
        <v>0</v>
      </c>
      <c r="G21" s="18"/>
      <c r="H21" s="18"/>
      <c r="I21" s="18">
        <v>109.5</v>
      </c>
      <c r="J21" s="18">
        <f>D21+F21+E21</f>
        <v>-319.1</v>
      </c>
      <c r="K21" s="18">
        <f>AVERAGE(J18:J21)</f>
        <v>-153.525</v>
      </c>
      <c r="L21" s="18"/>
      <c r="M21" s="18">
        <f>-(I21-F21)+M20</f>
        <v>-1114.5</v>
      </c>
      <c r="N21" s="18"/>
      <c r="O21" s="18">
        <f>1+O20</f>
        <v>18</v>
      </c>
    </row>
    <row r="22" ht="20.05" customHeight="1">
      <c r="B22" s="29"/>
      <c r="C22" s="17">
        <v>946</v>
      </c>
      <c r="D22" s="18">
        <v>340.1</v>
      </c>
      <c r="E22" s="18">
        <v>-211</v>
      </c>
      <c r="F22" s="18">
        <v>0</v>
      </c>
      <c r="G22" s="18"/>
      <c r="H22" s="18"/>
      <c r="I22" s="18">
        <v>-126.5</v>
      </c>
      <c r="J22" s="18">
        <f>D22+F22+E22</f>
        <v>129.1</v>
      </c>
      <c r="K22" s="18">
        <f>AVERAGE(J19:J22)</f>
        <v>-48.5</v>
      </c>
      <c r="L22" s="18"/>
      <c r="M22" s="18">
        <f>-(I22-F22)+M21</f>
        <v>-988</v>
      </c>
      <c r="N22" s="18"/>
      <c r="O22" s="18">
        <f>1+O21</f>
        <v>19</v>
      </c>
    </row>
    <row r="23" ht="20.05" customHeight="1">
      <c r="B23" s="29"/>
      <c r="C23" s="17">
        <v>1019</v>
      </c>
      <c r="D23" s="18">
        <v>253</v>
      </c>
      <c r="E23" s="18">
        <v>-232</v>
      </c>
      <c r="F23" s="18">
        <v>0</v>
      </c>
      <c r="G23" s="18"/>
      <c r="H23" s="18"/>
      <c r="I23" s="18">
        <v>-123</v>
      </c>
      <c r="J23" s="18">
        <f>D23+F23+E23</f>
        <v>21</v>
      </c>
      <c r="K23" s="18">
        <f>AVERAGE(J20:J23)</f>
        <v>-68</v>
      </c>
      <c r="L23" s="18"/>
      <c r="M23" s="18">
        <f>-(I23-F23)+M22</f>
        <v>-865</v>
      </c>
      <c r="N23" s="18"/>
      <c r="O23" s="18">
        <f>1+O22</f>
        <v>20</v>
      </c>
    </row>
    <row r="24" ht="20.05" customHeight="1">
      <c r="B24" s="32">
        <v>2020</v>
      </c>
      <c r="C24" s="17">
        <v>1030</v>
      </c>
      <c r="D24" s="18">
        <v>287</v>
      </c>
      <c r="E24" s="18">
        <v>-139</v>
      </c>
      <c r="F24" s="18">
        <v>-89</v>
      </c>
      <c r="G24" s="18">
        <f>I24-H24-F24</f>
        <v>117</v>
      </c>
      <c r="H24" s="18">
        <v>0</v>
      </c>
      <c r="I24" s="18">
        <v>28</v>
      </c>
      <c r="J24" s="18">
        <f>D24+F24+E24</f>
        <v>59</v>
      </c>
      <c r="K24" s="18">
        <f>AVERAGE(J21:J24)</f>
        <v>-27.5</v>
      </c>
      <c r="L24" s="18"/>
      <c r="M24" s="18">
        <f>-(I24-F24)+M23</f>
        <v>-982</v>
      </c>
      <c r="N24" s="18"/>
      <c r="O24" s="18">
        <f>1+O23</f>
        <v>21</v>
      </c>
    </row>
    <row r="25" ht="20.05" customHeight="1">
      <c r="B25" s="29"/>
      <c r="C25" s="17">
        <v>734.66</v>
      </c>
      <c r="D25" s="18">
        <v>248</v>
      </c>
      <c r="E25" s="18">
        <v>-110.7</v>
      </c>
      <c r="F25" s="18">
        <v>-88</v>
      </c>
      <c r="G25" s="18">
        <f>I25-H25-F25</f>
        <v>-173.3</v>
      </c>
      <c r="H25" s="18">
        <f>-5.1-H24</f>
        <v>-5.1</v>
      </c>
      <c r="I25" s="18">
        <v>-266.4</v>
      </c>
      <c r="J25" s="18">
        <f>D25+F25+E25</f>
        <v>49.3</v>
      </c>
      <c r="K25" s="18">
        <f>AVERAGE(J22:J25)</f>
        <v>64.59999999999999</v>
      </c>
      <c r="L25" s="18"/>
      <c r="M25" s="18">
        <f>-(I25-F25)+M24</f>
        <v>-803.6</v>
      </c>
      <c r="N25" s="18"/>
      <c r="O25" s="18">
        <f>1+O24</f>
        <v>22</v>
      </c>
    </row>
    <row r="26" ht="20.05" customHeight="1">
      <c r="B26" s="29"/>
      <c r="C26" s="17">
        <v>683.34</v>
      </c>
      <c r="D26" s="18">
        <v>168</v>
      </c>
      <c r="E26" s="18">
        <v>-102.3</v>
      </c>
      <c r="F26" s="18">
        <f>-266-F25-F24</f>
        <v>-89</v>
      </c>
      <c r="G26" s="18">
        <f>I26-H26-F26</f>
        <v>41.9</v>
      </c>
      <c r="H26" s="18">
        <f>-15.6-SUM(H24:H25)</f>
        <v>-10.5</v>
      </c>
      <c r="I26" s="18">
        <v>-57.6</v>
      </c>
      <c r="J26" s="18">
        <f>D26+F26+E26</f>
        <v>-23.3</v>
      </c>
      <c r="K26" s="18">
        <f>AVERAGE(J23:J26)</f>
        <v>26.5</v>
      </c>
      <c r="L26" s="18"/>
      <c r="M26" s="18">
        <f>-(I26-F26)+M25</f>
        <v>-835</v>
      </c>
      <c r="N26" s="18"/>
      <c r="O26" s="18">
        <f>1+O25</f>
        <v>23</v>
      </c>
    </row>
    <row r="27" ht="20.05" customHeight="1">
      <c r="B27" s="29"/>
      <c r="C27" s="17">
        <f>3353.2-SUM(C24:C26)</f>
        <v>905.2</v>
      </c>
      <c r="D27" s="18">
        <f>683.54-SUM(D24:D26)</f>
        <v>-19.46</v>
      </c>
      <c r="E27" s="18">
        <f>-383-SUM(E24:E26)</f>
        <v>-31</v>
      </c>
      <c r="F27" s="18">
        <v>-97</v>
      </c>
      <c r="G27" s="18">
        <f>I27-H27-F27</f>
        <v>175</v>
      </c>
      <c r="H27" s="18">
        <f>-15.6-SUM(H24:H26)</f>
        <v>0</v>
      </c>
      <c r="I27" s="18">
        <f>-218-SUM(I24:I26)</f>
        <v>78</v>
      </c>
      <c r="J27" s="18">
        <f>D27+F27+E27</f>
        <v>-147.46</v>
      </c>
      <c r="K27" s="18">
        <f>AVERAGE(J24:J27)</f>
        <v>-15.615</v>
      </c>
      <c r="L27" s="18"/>
      <c r="M27" s="18">
        <f>-(I27-F27)+M26</f>
        <v>-1010</v>
      </c>
      <c r="N27" s="18"/>
      <c r="O27" s="18">
        <f>1+O26</f>
        <v>24</v>
      </c>
    </row>
    <row r="28" ht="20.05" customHeight="1">
      <c r="B28" s="32">
        <v>2021</v>
      </c>
      <c r="C28" s="17">
        <v>1533</v>
      </c>
      <c r="D28" s="18">
        <v>577</v>
      </c>
      <c r="E28" s="18">
        <v>-81</v>
      </c>
      <c r="F28" s="18">
        <v>-90</v>
      </c>
      <c r="G28" s="18">
        <f>I28-H28-F28</f>
        <v>-299</v>
      </c>
      <c r="H28" s="18">
        <v>0</v>
      </c>
      <c r="I28" s="18">
        <v>-389</v>
      </c>
      <c r="J28" s="18">
        <f>D28+F28+E28</f>
        <v>406</v>
      </c>
      <c r="K28" s="18">
        <f>AVERAGE(J25:J28)</f>
        <v>71.13500000000001</v>
      </c>
      <c r="L28" s="18"/>
      <c r="M28" s="18">
        <f>-(I28-F28)+M27</f>
        <v>-711</v>
      </c>
      <c r="N28" s="18"/>
      <c r="O28" s="18">
        <f>1+O27</f>
        <v>25</v>
      </c>
    </row>
    <row r="29" ht="20.05" customHeight="1">
      <c r="B29" s="29"/>
      <c r="C29" s="17">
        <f>2784.9-C28</f>
        <v>1251.9</v>
      </c>
      <c r="D29" s="18">
        <f>913.4-D28</f>
        <v>336.4</v>
      </c>
      <c r="E29" s="18">
        <f>-126.2-E28</f>
        <v>-45.2</v>
      </c>
      <c r="F29" s="18">
        <f>-174-12.7-F28</f>
        <v>-96.7</v>
      </c>
      <c r="G29" s="18">
        <f>I29-H29-F29</f>
        <v>-116.3</v>
      </c>
      <c r="H29" s="18">
        <f>-1.1-H28</f>
        <v>-1.1</v>
      </c>
      <c r="I29" s="18">
        <f>-603.1-I28</f>
        <v>-214.1</v>
      </c>
      <c r="J29" s="18">
        <f>D29+F29+E29</f>
        <v>194.5</v>
      </c>
      <c r="K29" s="18">
        <f>AVERAGE(J26:J29)</f>
        <v>107.435</v>
      </c>
      <c r="L29" s="18"/>
      <c r="M29" s="18">
        <f>-(I29-F29)+M28</f>
        <v>-593.6</v>
      </c>
      <c r="N29" s="18"/>
      <c r="O29" s="18">
        <f>1+O28</f>
        <v>26</v>
      </c>
    </row>
    <row r="30" ht="20.05" customHeight="1">
      <c r="B30" s="29"/>
      <c r="C30" s="17">
        <f>4137.8-SUM(C28:C29)</f>
        <v>1352.9</v>
      </c>
      <c r="D30" s="18">
        <f>1375.1-SUM(D28:D29)</f>
        <v>461.7</v>
      </c>
      <c r="E30" s="18">
        <f>-163-SUM(E28:E29)</f>
        <v>-36.8</v>
      </c>
      <c r="F30" s="18">
        <f>-267.3-SUM(F28:F29)</f>
        <v>-80.59999999999999</v>
      </c>
      <c r="G30" s="18">
        <f>I30-H30-F30</f>
        <v>-204.3</v>
      </c>
      <c r="H30" s="18">
        <f>-1.9-SUM(H28:H29)</f>
        <v>-0.8</v>
      </c>
      <c r="I30" s="18">
        <f>-888.8-SUM(I28:I29)</f>
        <v>-285.7</v>
      </c>
      <c r="J30" s="18">
        <f>D30+F30+E30</f>
        <v>344.3</v>
      </c>
      <c r="K30" s="18">
        <f>AVERAGE(J27:J30)</f>
        <v>199.335</v>
      </c>
      <c r="L30" s="18"/>
      <c r="M30" s="18">
        <f>-(I30-F30)+M29</f>
        <v>-388.5</v>
      </c>
      <c r="N30" s="18"/>
      <c r="O30" s="18">
        <f>1+O29</f>
        <v>27</v>
      </c>
    </row>
    <row r="31" ht="20.05" customHeight="1">
      <c r="B31" s="29"/>
      <c r="C31" s="17">
        <f>5419-SUM(C28:C30)</f>
        <v>1281.2</v>
      </c>
      <c r="D31" s="18">
        <f>1774.1-SUM(D28:D30)</f>
        <v>399</v>
      </c>
      <c r="E31" s="18">
        <f>-347.9-SUM(E28:E30)</f>
        <v>-184.9</v>
      </c>
      <c r="F31" s="18">
        <f>-345.4-26.9-SUM(F28:F30)</f>
        <v>-105</v>
      </c>
      <c r="G31" s="18">
        <f>I31-H31-F31</f>
        <v>-183.6</v>
      </c>
      <c r="H31" s="18">
        <f>-4-SUM(H28:H30)</f>
        <v>-2.1</v>
      </c>
      <c r="I31" s="18">
        <f>-1179.5-SUM(I28:I30)</f>
        <v>-290.7</v>
      </c>
      <c r="J31" s="18">
        <f>D31+F31+E31</f>
        <v>109.1</v>
      </c>
      <c r="K31" s="18">
        <f>AVERAGE(J28:J31)</f>
        <v>263.475</v>
      </c>
      <c r="L31" s="18"/>
      <c r="M31" s="18">
        <f>-(I31-F31)+M30</f>
        <v>-202.8</v>
      </c>
      <c r="N31" s="18"/>
      <c r="O31" s="18">
        <f>1+O30</f>
        <v>28</v>
      </c>
    </row>
    <row r="32" ht="20.05" customHeight="1">
      <c r="B32" s="32">
        <v>2022</v>
      </c>
      <c r="C32" s="17">
        <v>1271</v>
      </c>
      <c r="D32" s="18">
        <v>348.8</v>
      </c>
      <c r="E32" s="18">
        <v>-131.2</v>
      </c>
      <c r="F32" s="18">
        <v>-81</v>
      </c>
      <c r="G32" s="18">
        <f>-6-927+831+100</f>
        <v>-2</v>
      </c>
      <c r="H32" s="18">
        <v>-1.1</v>
      </c>
      <c r="I32" s="18">
        <v>-85</v>
      </c>
      <c r="J32" s="18">
        <f>D32+F32+E32</f>
        <v>136.6</v>
      </c>
      <c r="K32" s="18">
        <f>AVERAGE(J29:J32)</f>
        <v>196.125</v>
      </c>
      <c r="L32" s="18">
        <v>282.664904172130</v>
      </c>
      <c r="M32" s="18">
        <f>-(I32-F32)+M31</f>
        <v>-198.8</v>
      </c>
      <c r="N32" s="18">
        <v>840.087474496680</v>
      </c>
      <c r="O32" s="18">
        <f>1+O31</f>
        <v>29</v>
      </c>
    </row>
    <row r="33" ht="20.05" customHeight="1">
      <c r="B33" s="29"/>
      <c r="C33" s="17"/>
      <c r="D33" s="18"/>
      <c r="E33" s="18"/>
      <c r="F33" s="18"/>
      <c r="G33" s="18"/>
      <c r="H33" s="18"/>
      <c r="I33" s="18"/>
      <c r="J33" s="18"/>
      <c r="K33" s="21"/>
      <c r="L33" s="18">
        <f>SUM('Model'!F9:F10)</f>
        <v>276.10371332</v>
      </c>
      <c r="M33" s="21"/>
      <c r="N33" s="18">
        <f>'Model'!F33</f>
        <v>887.59644732</v>
      </c>
      <c r="O33" s="18"/>
    </row>
  </sheetData>
  <mergeCells count="1">
    <mergeCell ref="B2:O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78125" style="36" customWidth="1"/>
    <col min="2" max="10" width="10.4766" style="36" customWidth="1"/>
    <col min="11" max="16384" width="16.3516" style="36" customWidth="1"/>
  </cols>
  <sheetData>
    <row r="1" ht="27.65" customHeight="1">
      <c r="A1" t="s" s="2">
        <v>22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44</v>
      </c>
      <c r="B2" t="s" s="5">
        <v>54</v>
      </c>
      <c r="C2" t="s" s="5">
        <v>55</v>
      </c>
      <c r="D2" t="s" s="5">
        <v>23</v>
      </c>
      <c r="E2" t="s" s="5">
        <v>24</v>
      </c>
      <c r="F2" t="s" s="5">
        <v>11</v>
      </c>
      <c r="G2" t="s" s="5">
        <v>26</v>
      </c>
      <c r="H2" t="s" s="5">
        <v>56</v>
      </c>
      <c r="I2" t="s" s="5">
        <v>57</v>
      </c>
      <c r="J2" t="s" s="5">
        <v>35</v>
      </c>
    </row>
    <row r="3" ht="19.75" customHeight="1">
      <c r="A3" s="24">
        <v>2015</v>
      </c>
      <c r="B3" s="35">
        <v>338</v>
      </c>
      <c r="C3" s="27">
        <v>5521</v>
      </c>
      <c r="D3" s="27">
        <f>C3-B3</f>
        <v>5183</v>
      </c>
      <c r="E3" s="27"/>
      <c r="F3" s="27">
        <v>2493</v>
      </c>
      <c r="G3" s="27">
        <v>3028</v>
      </c>
      <c r="H3" s="27">
        <f>F3+G3-D3-B3</f>
        <v>0</v>
      </c>
      <c r="I3" s="27">
        <f>B3-F3</f>
        <v>-2155</v>
      </c>
      <c r="J3" s="27"/>
    </row>
    <row r="4" ht="19.75" customHeight="1">
      <c r="A4" s="29"/>
      <c r="B4" s="17">
        <v>5</v>
      </c>
      <c r="C4" s="18">
        <v>6065</v>
      </c>
      <c r="D4" s="18">
        <f>C4-B4</f>
        <v>6060</v>
      </c>
      <c r="E4" s="18"/>
      <c r="F4" s="18">
        <v>3023</v>
      </c>
      <c r="G4" s="18">
        <v>3042</v>
      </c>
      <c r="H4" s="18">
        <f>F4+G4-D4-B4</f>
        <v>0</v>
      </c>
      <c r="I4" s="18">
        <f>B4-F4</f>
        <v>-3018</v>
      </c>
      <c r="J4" s="18"/>
    </row>
    <row r="5" ht="19.75" customHeight="1">
      <c r="A5" s="29"/>
      <c r="B5" s="17">
        <v>549</v>
      </c>
      <c r="C5" s="18">
        <v>6279</v>
      </c>
      <c r="D5" s="18">
        <f>C5-B5</f>
        <v>5730</v>
      </c>
      <c r="E5" s="18"/>
      <c r="F5" s="18">
        <v>3139</v>
      </c>
      <c r="G5" s="18">
        <v>3140</v>
      </c>
      <c r="H5" s="18">
        <f>F5+G5-D5-B5</f>
        <v>0</v>
      </c>
      <c r="I5" s="18">
        <f>B5-F5</f>
        <v>-2590</v>
      </c>
      <c r="J5" s="18"/>
    </row>
    <row r="6" ht="19.75" customHeight="1">
      <c r="A6" s="29"/>
      <c r="B6" s="17">
        <v>302</v>
      </c>
      <c r="C6" s="18">
        <v>7294</v>
      </c>
      <c r="D6" s="18">
        <f>C6-B6</f>
        <v>6992</v>
      </c>
      <c r="E6" s="18"/>
      <c r="F6" s="18">
        <v>3877</v>
      </c>
      <c r="G6" s="18">
        <v>3417</v>
      </c>
      <c r="H6" s="18">
        <f>F6+G6-D6-B6</f>
        <v>0</v>
      </c>
      <c r="I6" s="18">
        <f>B6-F6</f>
        <v>-3575</v>
      </c>
      <c r="J6" s="18"/>
    </row>
    <row r="7" ht="19.75" customHeight="1">
      <c r="A7" s="32">
        <v>2016</v>
      </c>
      <c r="B7" s="17">
        <v>107</v>
      </c>
      <c r="C7" s="18">
        <v>7142</v>
      </c>
      <c r="D7" s="18">
        <f>C7-B7</f>
        <v>7035</v>
      </c>
      <c r="E7" s="18"/>
      <c r="F7" s="18">
        <v>3752</v>
      </c>
      <c r="G7" s="18">
        <v>3390</v>
      </c>
      <c r="H7" s="18">
        <f>F7+G7-D7-B7</f>
        <v>0</v>
      </c>
      <c r="I7" s="18">
        <f>B7-F7</f>
        <v>-3645</v>
      </c>
      <c r="J7" s="18"/>
    </row>
    <row r="8" ht="19.75" customHeight="1">
      <c r="A8" s="29"/>
      <c r="B8" s="17">
        <v>76</v>
      </c>
      <c r="C8" s="18">
        <v>7515</v>
      </c>
      <c r="D8" s="18">
        <f>C8-B8</f>
        <v>7439</v>
      </c>
      <c r="E8" s="18"/>
      <c r="F8" s="18">
        <v>4281</v>
      </c>
      <c r="G8" s="18">
        <v>3234</v>
      </c>
      <c r="H8" s="18">
        <f>F8+G8-D8-B8</f>
        <v>0</v>
      </c>
      <c r="I8" s="18">
        <f>B8-F8</f>
        <v>-4205</v>
      </c>
      <c r="J8" s="18"/>
    </row>
    <row r="9" ht="19.75" customHeight="1">
      <c r="A9" s="29"/>
      <c r="B9" s="17">
        <v>53</v>
      </c>
      <c r="C9" s="18">
        <v>7879</v>
      </c>
      <c r="D9" s="18">
        <f>C9-B9</f>
        <v>7826</v>
      </c>
      <c r="E9" s="18"/>
      <c r="F9" s="18">
        <v>4533</v>
      </c>
      <c r="G9" s="18">
        <v>3346</v>
      </c>
      <c r="H9" s="18">
        <f>F9+G9-D9-B9</f>
        <v>0</v>
      </c>
      <c r="I9" s="18">
        <f>B9-F9</f>
        <v>-4480</v>
      </c>
      <c r="J9" s="18"/>
    </row>
    <row r="10" ht="19.75" customHeight="1">
      <c r="A10" s="29"/>
      <c r="B10" s="17">
        <v>251</v>
      </c>
      <c r="C10" s="18">
        <v>8328</v>
      </c>
      <c r="D10" s="18">
        <f>C10-B10</f>
        <v>8077</v>
      </c>
      <c r="E10" s="18"/>
      <c r="F10" s="18">
        <v>4569</v>
      </c>
      <c r="G10" s="18">
        <v>3759</v>
      </c>
      <c r="H10" s="18">
        <f>F10+G10-D10-B10</f>
        <v>0</v>
      </c>
      <c r="I10" s="18">
        <f>B10-F10</f>
        <v>-4318</v>
      </c>
      <c r="J10" s="18"/>
    </row>
    <row r="11" ht="19.75" customHeight="1">
      <c r="A11" s="32">
        <v>2017</v>
      </c>
      <c r="B11" s="17">
        <v>100</v>
      </c>
      <c r="C11" s="18">
        <v>8042</v>
      </c>
      <c r="D11" s="18">
        <f>C11-B11</f>
        <v>7942</v>
      </c>
      <c r="E11" s="18"/>
      <c r="F11" s="18">
        <v>4125</v>
      </c>
      <c r="G11" s="18">
        <v>3917</v>
      </c>
      <c r="H11" s="18">
        <f>F11+G11-D11-B11</f>
        <v>0</v>
      </c>
      <c r="I11" s="18">
        <f>B11-F11</f>
        <v>-4025</v>
      </c>
      <c r="J11" s="18"/>
    </row>
    <row r="12" ht="19.75" customHeight="1">
      <c r="A12" s="29"/>
      <c r="B12" s="17">
        <v>135</v>
      </c>
      <c r="C12" s="18">
        <v>8065</v>
      </c>
      <c r="D12" s="18">
        <f>C12-B12</f>
        <v>7930</v>
      </c>
      <c r="E12" s="18"/>
      <c r="F12" s="18">
        <v>4175</v>
      </c>
      <c r="G12" s="18">
        <v>3890</v>
      </c>
      <c r="H12" s="18">
        <f>F12+G12-D12-B12</f>
        <v>0</v>
      </c>
      <c r="I12" s="18">
        <f>B12-F12</f>
        <v>-4040</v>
      </c>
      <c r="J12" s="18"/>
    </row>
    <row r="13" ht="19.75" customHeight="1">
      <c r="A13" s="29"/>
      <c r="B13" s="17">
        <v>132</v>
      </c>
      <c r="C13" s="18">
        <v>8204</v>
      </c>
      <c r="D13" s="18">
        <f>C13-B13</f>
        <v>8072</v>
      </c>
      <c r="E13" s="18"/>
      <c r="F13" s="18">
        <v>4262</v>
      </c>
      <c r="G13" s="18">
        <v>3942</v>
      </c>
      <c r="H13" s="18">
        <f>F13+G13-D13-B13</f>
        <v>0</v>
      </c>
      <c r="I13" s="18">
        <f>B13-F13</f>
        <v>-4130</v>
      </c>
      <c r="J13" s="18"/>
    </row>
    <row r="14" ht="19.75" customHeight="1">
      <c r="A14" s="29"/>
      <c r="B14" s="17">
        <v>89</v>
      </c>
      <c r="C14" s="18">
        <v>8284</v>
      </c>
      <c r="D14" s="18">
        <f>C14-B14</f>
        <v>8195</v>
      </c>
      <c r="E14" s="18"/>
      <c r="F14" s="18">
        <v>4279</v>
      </c>
      <c r="G14" s="18">
        <v>4005</v>
      </c>
      <c r="H14" s="18">
        <f>F14+G14-D14-B14</f>
        <v>0</v>
      </c>
      <c r="I14" s="18">
        <f>B14-F14</f>
        <v>-4190</v>
      </c>
      <c r="J14" s="18"/>
    </row>
    <row r="15" ht="19.75" customHeight="1">
      <c r="A15" s="32">
        <v>2018</v>
      </c>
      <c r="B15" s="17">
        <v>113</v>
      </c>
      <c r="C15" s="18">
        <v>8254</v>
      </c>
      <c r="D15" s="18">
        <f>C15-B15</f>
        <v>8141</v>
      </c>
      <c r="E15" s="18"/>
      <c r="F15" s="18">
        <v>4201</v>
      </c>
      <c r="G15" s="18">
        <v>4053</v>
      </c>
      <c r="H15" s="18">
        <f>F15+G15-D15-B15</f>
        <v>0</v>
      </c>
      <c r="I15" s="18">
        <f>B15-F15</f>
        <v>-4088</v>
      </c>
      <c r="J15" s="18"/>
    </row>
    <row r="16" ht="19.75" customHeight="1">
      <c r="A16" s="29"/>
      <c r="B16" s="17">
        <v>114</v>
      </c>
      <c r="C16" s="18">
        <v>8607</v>
      </c>
      <c r="D16" s="18">
        <f>C16-B16</f>
        <v>8493</v>
      </c>
      <c r="E16" s="18"/>
      <c r="F16" s="18">
        <v>4612</v>
      </c>
      <c r="G16" s="18">
        <v>3995</v>
      </c>
      <c r="H16" s="18">
        <f>F16+G16-D16-B16</f>
        <v>0</v>
      </c>
      <c r="I16" s="18">
        <f>B16-F16</f>
        <v>-4498</v>
      </c>
      <c r="J16" s="18"/>
    </row>
    <row r="17" ht="19.75" customHeight="1">
      <c r="A17" s="29"/>
      <c r="B17" s="17">
        <v>9</v>
      </c>
      <c r="C17" s="18">
        <v>9042</v>
      </c>
      <c r="D17" s="18">
        <f>C17-B17</f>
        <v>9033</v>
      </c>
      <c r="E17" s="18"/>
      <c r="F17" s="18">
        <v>4935</v>
      </c>
      <c r="G17" s="18">
        <v>4107</v>
      </c>
      <c r="H17" s="18">
        <f>F17+G17-D17-B17</f>
        <v>0</v>
      </c>
      <c r="I17" s="18">
        <f>B17-F17</f>
        <v>-4926</v>
      </c>
      <c r="J17" s="18"/>
    </row>
    <row r="18" ht="19.75" customHeight="1">
      <c r="A18" s="29"/>
      <c r="B18" s="17">
        <v>81.7</v>
      </c>
      <c r="C18" s="18">
        <v>9019</v>
      </c>
      <c r="D18" s="18">
        <f>C18-B18</f>
        <v>8937.299999999999</v>
      </c>
      <c r="E18" s="18"/>
      <c r="F18" s="18">
        <v>4990</v>
      </c>
      <c r="G18" s="18">
        <v>4029</v>
      </c>
      <c r="H18" s="18">
        <f>F18+G18-D18-B18</f>
        <v>0</v>
      </c>
      <c r="I18" s="18">
        <f>B18-F18</f>
        <v>-4908.3</v>
      </c>
      <c r="J18" s="18"/>
    </row>
    <row r="19" ht="19.75" customHeight="1">
      <c r="A19" s="32">
        <v>2019</v>
      </c>
      <c r="B19" s="17">
        <v>31.5</v>
      </c>
      <c r="C19" s="18">
        <v>8933</v>
      </c>
      <c r="D19" s="18">
        <f>C19-B19</f>
        <v>8901.5</v>
      </c>
      <c r="E19" s="18"/>
      <c r="F19" s="18">
        <v>4831</v>
      </c>
      <c r="G19" s="18">
        <v>4102</v>
      </c>
      <c r="H19" s="18">
        <f>F19+G19-D19-B19</f>
        <v>0</v>
      </c>
      <c r="I19" s="18">
        <f>B19-F19</f>
        <v>-4799.5</v>
      </c>
      <c r="J19" s="18"/>
    </row>
    <row r="20" ht="19.75" customHeight="1">
      <c r="A20" s="29"/>
      <c r="B20" s="17">
        <v>7.6</v>
      </c>
      <c r="C20" s="18">
        <v>9206</v>
      </c>
      <c r="D20" s="18">
        <f>C20-B20</f>
        <v>9198.4</v>
      </c>
      <c r="E20" s="18"/>
      <c r="F20" s="18">
        <v>5126</v>
      </c>
      <c r="G20" s="18">
        <v>4080</v>
      </c>
      <c r="H20" s="18">
        <f>F20+G20-D20-B20</f>
        <v>0</v>
      </c>
      <c r="I20" s="18">
        <f>B20-F20</f>
        <v>-5118.4</v>
      </c>
      <c r="J20" s="18"/>
    </row>
    <row r="21" ht="19.75" customHeight="1">
      <c r="A21" s="29"/>
      <c r="B21" s="17">
        <v>114</v>
      </c>
      <c r="C21" s="18">
        <v>9374</v>
      </c>
      <c r="D21" s="18">
        <f>C21-B21</f>
        <v>9260</v>
      </c>
      <c r="E21" s="18"/>
      <c r="F21" s="18">
        <v>5239</v>
      </c>
      <c r="G21" s="18">
        <v>4135</v>
      </c>
      <c r="H21" s="18">
        <f>F21+G21-D21-B21</f>
        <v>0</v>
      </c>
      <c r="I21" s="18">
        <f>B21-F21</f>
        <v>-5125</v>
      </c>
      <c r="J21" s="18"/>
    </row>
    <row r="22" ht="19.75" customHeight="1">
      <c r="A22" s="29"/>
      <c r="B22" s="17">
        <v>167</v>
      </c>
      <c r="C22" s="18">
        <v>9467</v>
      </c>
      <c r="D22" s="18">
        <f>C22-B22</f>
        <v>9300</v>
      </c>
      <c r="E22" s="18"/>
      <c r="F22" s="18">
        <v>5314</v>
      </c>
      <c r="G22" s="18">
        <v>4153</v>
      </c>
      <c r="H22" s="18">
        <f>F22+G22-D22-B22</f>
        <v>0</v>
      </c>
      <c r="I22" s="18">
        <f>B22-F22</f>
        <v>-5147</v>
      </c>
      <c r="J22" s="18"/>
    </row>
    <row r="23" ht="19.75" customHeight="1">
      <c r="A23" s="32">
        <v>2020</v>
      </c>
      <c r="B23" s="17">
        <v>344</v>
      </c>
      <c r="C23" s="18">
        <v>9647</v>
      </c>
      <c r="D23" s="18">
        <f>C23-B23</f>
        <v>9303</v>
      </c>
      <c r="E23" s="18"/>
      <c r="F23" s="18">
        <v>5492</v>
      </c>
      <c r="G23" s="18">
        <v>4155</v>
      </c>
      <c r="H23" s="18">
        <f>F23+G23-D23-B23</f>
        <v>0</v>
      </c>
      <c r="I23" s="18">
        <f>B23-F23</f>
        <v>-5148</v>
      </c>
      <c r="J23" s="18"/>
    </row>
    <row r="24" ht="19.75" customHeight="1">
      <c r="A24" s="29"/>
      <c r="B24" s="17">
        <f>92.937+121.599</f>
        <v>214.536</v>
      </c>
      <c r="C24" s="18">
        <v>9465.047</v>
      </c>
      <c r="D24" s="18">
        <f>C24-B24</f>
        <v>9250.511</v>
      </c>
      <c r="E24" s="18">
        <f>1919.425+1056.09+7.48+27.888</f>
        <v>3010.883</v>
      </c>
      <c r="F24" s="18">
        <v>5312.43</v>
      </c>
      <c r="G24" s="18">
        <v>4152.617</v>
      </c>
      <c r="H24" s="18">
        <f>F24+G24-D24-B24</f>
        <v>0</v>
      </c>
      <c r="I24" s="18">
        <f>B24-F24</f>
        <v>-5097.894</v>
      </c>
      <c r="J24" s="37"/>
    </row>
    <row r="25" ht="19.75" customHeight="1">
      <c r="A25" s="29"/>
      <c r="B25" s="17">
        <v>223</v>
      </c>
      <c r="C25" s="18">
        <v>9585</v>
      </c>
      <c r="D25" s="18">
        <f>C25-B25</f>
        <v>9362</v>
      </c>
      <c r="E25" s="18">
        <f>E24+'Sales'!E26</f>
        <v>3094.549666666670</v>
      </c>
      <c r="F25" s="18">
        <v>5403</v>
      </c>
      <c r="G25" s="18">
        <v>4182</v>
      </c>
      <c r="H25" s="18">
        <f>F25+G25-D25-B25</f>
        <v>0</v>
      </c>
      <c r="I25" s="18">
        <f>B25-F25</f>
        <v>-5180</v>
      </c>
      <c r="J25" s="18"/>
    </row>
    <row r="26" ht="19.75" customHeight="1">
      <c r="A26" s="29"/>
      <c r="B26" s="17">
        <v>249.6</v>
      </c>
      <c r="C26" s="18">
        <v>9744.68</v>
      </c>
      <c r="D26" s="18">
        <f>C26-B26</f>
        <v>9495.08</v>
      </c>
      <c r="E26" s="18">
        <f>E25+'Sales'!E27</f>
        <v>3511.549666666670</v>
      </c>
      <c r="F26" s="18">
        <v>5948.6</v>
      </c>
      <c r="G26" s="18">
        <v>3796</v>
      </c>
      <c r="H26" s="18">
        <f>F26+G26-D26-B26</f>
        <v>-0.08</v>
      </c>
      <c r="I26" s="18">
        <f>B26-F26</f>
        <v>-5699</v>
      </c>
      <c r="J26" s="18"/>
    </row>
    <row r="27" ht="19.75" customHeight="1">
      <c r="A27" s="32">
        <v>2021</v>
      </c>
      <c r="B27" s="17">
        <f>312+45</f>
        <v>357</v>
      </c>
      <c r="C27" s="18">
        <v>9599</v>
      </c>
      <c r="D27" s="18">
        <f>C27-B27</f>
        <v>9242</v>
      </c>
      <c r="E27" s="18">
        <f>E26+'Sales'!E28</f>
        <v>3597.549666666670</v>
      </c>
      <c r="F27" s="18">
        <v>5594</v>
      </c>
      <c r="G27" s="18">
        <v>4006</v>
      </c>
      <c r="H27" s="18">
        <f>F27+G27-D27-B27</f>
        <v>1</v>
      </c>
      <c r="I27" s="18">
        <f>B27-F27</f>
        <v>-5237</v>
      </c>
      <c r="J27" s="18"/>
    </row>
    <row r="28" ht="19.75" customHeight="1">
      <c r="A28" s="29"/>
      <c r="B28" s="17">
        <f>95+339</f>
        <v>434</v>
      </c>
      <c r="C28" s="18">
        <v>9635</v>
      </c>
      <c r="D28" s="18">
        <f>C28-B28</f>
        <v>9201</v>
      </c>
      <c r="E28" s="18">
        <f>2101+1213</f>
        <v>3314</v>
      </c>
      <c r="F28" s="18">
        <v>5449</v>
      </c>
      <c r="G28" s="18">
        <v>4186</v>
      </c>
      <c r="H28" s="18">
        <f>F28+G28-D28-B28</f>
        <v>0</v>
      </c>
      <c r="I28" s="18">
        <f>B28-F28</f>
        <v>-5015</v>
      </c>
      <c r="J28" s="18"/>
    </row>
    <row r="29" ht="19.75" customHeight="1">
      <c r="A29" s="29"/>
      <c r="B29" s="17">
        <v>121</v>
      </c>
      <c r="C29" s="18">
        <v>9763</v>
      </c>
      <c r="D29" s="18">
        <f>C29-B29</f>
        <v>9642</v>
      </c>
      <c r="E29" s="18">
        <f>1254+2147+31+9</f>
        <v>3441</v>
      </c>
      <c r="F29" s="18">
        <v>5474</v>
      </c>
      <c r="G29" s="18">
        <v>4289</v>
      </c>
      <c r="H29" s="18">
        <f>F29+G29-D29-B29</f>
        <v>0</v>
      </c>
      <c r="I29" s="18">
        <f>B29-F29</f>
        <v>-5353</v>
      </c>
      <c r="J29" s="18"/>
    </row>
    <row r="30" ht="19.75" customHeight="1">
      <c r="A30" s="29"/>
      <c r="B30" s="17">
        <v>497</v>
      </c>
      <c r="C30" s="18">
        <v>9751</v>
      </c>
      <c r="D30" s="18">
        <f>C30-B30</f>
        <v>9254</v>
      </c>
      <c r="E30" s="18">
        <f>1295+2193+31+9+31</f>
        <v>3559</v>
      </c>
      <c r="F30" s="18">
        <v>5154</v>
      </c>
      <c r="G30" s="18">
        <v>4597</v>
      </c>
      <c r="H30" s="18">
        <f>F30+G30-D30-B30</f>
        <v>0</v>
      </c>
      <c r="I30" s="18">
        <f>B30-F30</f>
        <v>-4657</v>
      </c>
      <c r="J30" s="18"/>
    </row>
    <row r="31" ht="19.75" customHeight="1">
      <c r="A31" s="32">
        <v>2022</v>
      </c>
      <c r="B31" s="17">
        <f>B30+'Cashflow '!D32+'Cashflow '!E32+'Cashflow '!I32</f>
        <v>629.6</v>
      </c>
      <c r="C31" s="18">
        <v>10068</v>
      </c>
      <c r="D31" s="18">
        <f>C31-B31</f>
        <v>9438.4</v>
      </c>
      <c r="E31" s="18">
        <f>E30+'Sales'!E32</f>
        <v>3647</v>
      </c>
      <c r="F31" s="18">
        <v>5225</v>
      </c>
      <c r="G31" s="18">
        <f>C31-F31</f>
        <v>4843</v>
      </c>
      <c r="H31" s="18">
        <f>F31+G31-D31-B31</f>
        <v>0</v>
      </c>
      <c r="I31" s="18">
        <f>B31-F31</f>
        <v>-4595.4</v>
      </c>
      <c r="J31" s="18">
        <v>-3695.403197412</v>
      </c>
    </row>
    <row r="32" ht="19.75" customHeight="1">
      <c r="A32" s="29"/>
      <c r="B32" s="17"/>
      <c r="C32" s="18"/>
      <c r="D32" s="18"/>
      <c r="E32" s="18"/>
      <c r="F32" s="18"/>
      <c r="G32" s="18"/>
      <c r="H32" s="18"/>
      <c r="I32" s="18"/>
      <c r="J32" s="18">
        <f>'Model'!F31</f>
        <v>-3634.923197412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E21"/>
  <sheetViews>
    <sheetView workbookViewId="0" showGridLines="0" defaultGridColor="1"/>
  </sheetViews>
  <sheetFormatPr defaultColWidth="8.33333" defaultRowHeight="19.9" customHeight="1" outlineLevelRow="0" outlineLevelCol="0"/>
  <cols>
    <col min="1" max="1" width="3.02344" style="38" customWidth="1"/>
    <col min="2" max="2" width="5.26562" style="38" customWidth="1"/>
    <col min="3" max="5" width="8.4375" style="38" customWidth="1"/>
    <col min="6" max="16384" width="8.35156" style="38" customWidth="1"/>
  </cols>
  <sheetData>
    <row r="1" ht="27.65" customHeight="1">
      <c r="B1" t="s" s="2">
        <v>58</v>
      </c>
      <c r="C1" s="2"/>
      <c r="D1" s="2"/>
      <c r="E1" s="2"/>
    </row>
    <row r="2" ht="20.25" customHeight="1">
      <c r="B2" s="39"/>
      <c r="C2" t="s" s="40">
        <v>59</v>
      </c>
      <c r="D2" t="s" s="40">
        <v>60</v>
      </c>
      <c r="E2" t="s" s="40">
        <v>61</v>
      </c>
    </row>
    <row r="3" ht="20.25" customHeight="1">
      <c r="B3" s="41">
        <v>2018</v>
      </c>
      <c r="C3" s="42">
        <v>2480</v>
      </c>
      <c r="D3" s="43"/>
      <c r="E3" s="43"/>
    </row>
    <row r="4" ht="20.05" customHeight="1">
      <c r="B4" s="44"/>
      <c r="C4" s="45">
        <v>2350</v>
      </c>
      <c r="D4" s="46"/>
      <c r="E4" s="46"/>
    </row>
    <row r="5" ht="20.05" customHeight="1">
      <c r="B5" s="44"/>
      <c r="C5" s="45">
        <v>2330</v>
      </c>
      <c r="D5" s="46"/>
      <c r="E5" s="46"/>
    </row>
    <row r="6" ht="20.05" customHeight="1">
      <c r="B6" s="44"/>
      <c r="C6" s="45">
        <v>2370</v>
      </c>
      <c r="D6" s="46"/>
      <c r="E6" s="46"/>
    </row>
    <row r="7" ht="20.05" customHeight="1">
      <c r="B7" s="47">
        <v>2019</v>
      </c>
      <c r="C7" s="45">
        <v>2550</v>
      </c>
      <c r="D7" s="46"/>
      <c r="E7" s="46"/>
    </row>
    <row r="8" ht="20.05" customHeight="1">
      <c r="B8" s="44"/>
      <c r="C8" s="45">
        <v>2270</v>
      </c>
      <c r="D8" s="46"/>
      <c r="E8" s="46"/>
    </row>
    <row r="9" ht="20.05" customHeight="1">
      <c r="B9" s="44"/>
      <c r="C9" s="45">
        <v>2170</v>
      </c>
      <c r="D9" s="46"/>
      <c r="E9" s="46"/>
    </row>
    <row r="10" ht="20.05" customHeight="1">
      <c r="B10" s="44"/>
      <c r="C10" s="45">
        <v>2510</v>
      </c>
      <c r="D10" s="48"/>
      <c r="E10" s="48"/>
    </row>
    <row r="11" ht="20.05" customHeight="1">
      <c r="B11" s="47">
        <v>2020</v>
      </c>
      <c r="C11" s="45">
        <v>2200</v>
      </c>
      <c r="D11" s="48"/>
      <c r="E11" s="48"/>
    </row>
    <row r="12" ht="20.05" customHeight="1">
      <c r="B12" s="44"/>
      <c r="C12" s="45">
        <v>2080</v>
      </c>
      <c r="D12" s="48"/>
      <c r="E12" s="48"/>
    </row>
    <row r="13" ht="20.05" customHeight="1">
      <c r="B13" s="44"/>
      <c r="C13" s="45">
        <v>1500</v>
      </c>
      <c r="D13" s="48"/>
      <c r="E13" s="48"/>
    </row>
    <row r="14" ht="20.05" customHeight="1">
      <c r="B14" s="44"/>
      <c r="C14" s="45">
        <v>1615</v>
      </c>
      <c r="D14" s="48"/>
      <c r="E14" s="48"/>
    </row>
    <row r="15" ht="20.05" customHeight="1">
      <c r="B15" s="47">
        <v>2021</v>
      </c>
      <c r="C15" s="45">
        <v>1750</v>
      </c>
      <c r="D15" s="48"/>
      <c r="E15" s="48"/>
    </row>
    <row r="16" ht="20.05" customHeight="1">
      <c r="B16" s="44"/>
      <c r="C16" s="45">
        <v>1780</v>
      </c>
      <c r="D16" s="48"/>
      <c r="E16" s="48"/>
    </row>
    <row r="17" ht="20.05" customHeight="1">
      <c r="B17" s="44"/>
      <c r="C17" s="45">
        <v>1915</v>
      </c>
      <c r="D17" s="48"/>
      <c r="E17" s="48"/>
    </row>
    <row r="18" ht="20.05" customHeight="1">
      <c r="B18" s="44"/>
      <c r="C18" s="45">
        <v>1995</v>
      </c>
      <c r="D18" s="48"/>
      <c r="E18" s="48"/>
    </row>
    <row r="19" ht="20.05" customHeight="1">
      <c r="B19" s="47">
        <v>2022</v>
      </c>
      <c r="C19" s="49">
        <v>2250</v>
      </c>
      <c r="D19" s="46">
        <v>7514.1057109157</v>
      </c>
      <c r="E19" s="48"/>
    </row>
    <row r="20" ht="20.05" customHeight="1">
      <c r="B20" s="44"/>
      <c r="C20" s="45">
        <v>2230</v>
      </c>
      <c r="D20" s="46">
        <v>5376.366700439220</v>
      </c>
      <c r="E20" s="48"/>
    </row>
    <row r="21" ht="20.05" customHeight="1">
      <c r="B21" s="44"/>
      <c r="C21" s="45"/>
      <c r="D21" s="46">
        <f>'Model'!F44</f>
        <v>5376.366700439220</v>
      </c>
      <c r="E21" s="48"/>
    </row>
  </sheetData>
  <mergeCells count="1">
    <mergeCell ref="B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4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3984" style="50" customWidth="1"/>
    <col min="11" max="22" width="11.375" style="51" customWidth="1"/>
    <col min="23" max="16384" width="16.3516" style="51" customWidth="1"/>
  </cols>
  <sheetData>
    <row r="1" ht="27.65" customHeight="1">
      <c r="A1" t="s" s="2">
        <v>53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44</v>
      </c>
      <c r="B2" t="s" s="5">
        <v>11</v>
      </c>
      <c r="C2" t="s" s="5">
        <v>26</v>
      </c>
      <c r="D2" t="s" s="5">
        <v>62</v>
      </c>
      <c r="E2" t="s" s="5">
        <v>11</v>
      </c>
      <c r="F2" t="s" s="5">
        <v>26</v>
      </c>
      <c r="G2" t="s" s="5">
        <v>62</v>
      </c>
      <c r="H2" s="4"/>
      <c r="I2" s="4"/>
      <c r="J2" s="4"/>
    </row>
    <row r="3" ht="20.25" customHeight="1">
      <c r="A3" s="24">
        <v>2007</v>
      </c>
      <c r="B3" s="35">
        <f>-1172+244-8</f>
        <v>-936</v>
      </c>
      <c r="C3" s="27">
        <v>1080</v>
      </c>
      <c r="D3" s="27">
        <f>B3+C3</f>
        <v>144</v>
      </c>
      <c r="E3" s="27">
        <f>B3</f>
        <v>-936</v>
      </c>
      <c r="F3" s="27">
        <f>C3</f>
        <v>1080</v>
      </c>
      <c r="G3" s="27">
        <f>D3</f>
        <v>144</v>
      </c>
      <c r="H3" s="8"/>
      <c r="I3" s="8"/>
      <c r="J3" s="8"/>
    </row>
    <row r="4" ht="20.05" customHeight="1">
      <c r="A4" s="32">
        <v>2008</v>
      </c>
      <c r="B4" s="17">
        <v>0</v>
      </c>
      <c r="C4" s="18">
        <f>-278-79-3</f>
        <v>-360</v>
      </c>
      <c r="D4" s="18">
        <f>B4+C4</f>
        <v>-360</v>
      </c>
      <c r="E4" s="18">
        <f>B4+E3</f>
        <v>-936</v>
      </c>
      <c r="F4" s="18">
        <f>C4+F3</f>
        <v>720</v>
      </c>
      <c r="G4" s="18">
        <f>D4+G3</f>
        <v>-216</v>
      </c>
      <c r="H4" s="21"/>
      <c r="I4" s="21"/>
      <c r="J4" s="21"/>
    </row>
    <row r="5" ht="20.05" customHeight="1">
      <c r="A5" s="32">
        <v>2009</v>
      </c>
      <c r="B5" s="17">
        <f>570-543</f>
        <v>27</v>
      </c>
      <c r="C5" s="18">
        <f>-170-4+100</f>
        <v>-74</v>
      </c>
      <c r="D5" s="18">
        <f>B5+C5</f>
        <v>-47</v>
      </c>
      <c r="E5" s="18">
        <f>B5+E4</f>
        <v>-909</v>
      </c>
      <c r="F5" s="18">
        <f>C5+F4</f>
        <v>646</v>
      </c>
      <c r="G5" s="18">
        <f>D5+G4</f>
        <v>-263</v>
      </c>
      <c r="H5" s="21"/>
      <c r="I5" s="21"/>
      <c r="J5" s="21"/>
    </row>
    <row r="6" ht="20.05" customHeight="1">
      <c r="A6" s="32">
        <f>1+$A5</f>
        <v>2010</v>
      </c>
      <c r="B6" s="17">
        <f>147-25</f>
        <v>122</v>
      </c>
      <c r="C6" s="18">
        <f>-85</f>
        <v>-85</v>
      </c>
      <c r="D6" s="18">
        <f>B6+C6</f>
        <v>37</v>
      </c>
      <c r="E6" s="18">
        <f>B6+E5</f>
        <v>-787</v>
      </c>
      <c r="F6" s="18">
        <f>C6+F5</f>
        <v>561</v>
      </c>
      <c r="G6" s="18">
        <f>D6+G5</f>
        <v>-226</v>
      </c>
      <c r="H6" s="21"/>
      <c r="I6" s="21"/>
      <c r="J6" s="21"/>
    </row>
    <row r="7" ht="20.05" customHeight="1">
      <c r="A7" s="32">
        <f>1+$A6</f>
        <v>2011</v>
      </c>
      <c r="B7" s="17">
        <f>213-144</f>
        <v>69</v>
      </c>
      <c r="C7" s="18">
        <v>-209</v>
      </c>
      <c r="D7" s="18">
        <f>B7+C7</f>
        <v>-140</v>
      </c>
      <c r="E7" s="18">
        <f>B7+E6</f>
        <v>-718</v>
      </c>
      <c r="F7" s="18">
        <f>C7+F6</f>
        <v>352</v>
      </c>
      <c r="G7" s="18">
        <f>D7+G6</f>
        <v>-366</v>
      </c>
      <c r="H7" s="21"/>
      <c r="I7" s="21"/>
      <c r="J7" s="21"/>
    </row>
    <row r="8" ht="20.05" customHeight="1">
      <c r="A8" s="32">
        <f>1+$A7</f>
        <v>2012</v>
      </c>
      <c r="B8" s="17">
        <f>892-383</f>
        <v>509</v>
      </c>
      <c r="C8" s="18">
        <v>-169</v>
      </c>
      <c r="D8" s="18">
        <f>B8+C8</f>
        <v>340</v>
      </c>
      <c r="E8" s="18">
        <f>B8+E7</f>
        <v>-209</v>
      </c>
      <c r="F8" s="18">
        <f>C8+F7</f>
        <v>183</v>
      </c>
      <c r="G8" s="18">
        <f>D8+G7</f>
        <v>-26</v>
      </c>
      <c r="H8" s="21"/>
      <c r="I8" s="21"/>
      <c r="J8" s="21"/>
    </row>
    <row r="9" ht="20.05" customHeight="1">
      <c r="A9" s="32">
        <f>1+$A8</f>
        <v>2013</v>
      </c>
      <c r="B9" s="17">
        <f>1566-1206</f>
        <v>360</v>
      </c>
      <c r="C9" s="18">
        <v>-89</v>
      </c>
      <c r="D9" s="18">
        <f>B9+C9</f>
        <v>271</v>
      </c>
      <c r="E9" s="18">
        <f>B9+E8</f>
        <v>151</v>
      </c>
      <c r="F9" s="18">
        <f>C9+F8</f>
        <v>94</v>
      </c>
      <c r="G9" s="18">
        <f>D9+G8</f>
        <v>245</v>
      </c>
      <c r="H9" s="21"/>
      <c r="I9" s="21"/>
      <c r="J9" s="21"/>
    </row>
    <row r="10" ht="20.05" customHeight="1">
      <c r="A10" s="32">
        <f>1+$A9</f>
        <v>2014</v>
      </c>
      <c r="B10" s="17">
        <f>2010-1615</f>
        <v>395</v>
      </c>
      <c r="C10" s="18">
        <v>-31</v>
      </c>
      <c r="D10" s="18">
        <f>B10+C10</f>
        <v>364</v>
      </c>
      <c r="E10" s="18">
        <f>B10+E9</f>
        <v>546</v>
      </c>
      <c r="F10" s="18">
        <f>C10+F9</f>
        <v>63</v>
      </c>
      <c r="G10" s="18">
        <f>D10+G9</f>
        <v>609</v>
      </c>
      <c r="H10" s="21"/>
      <c r="I10" s="21"/>
      <c r="J10" s="21"/>
    </row>
    <row r="11" ht="20.05" customHeight="1">
      <c r="A11" s="32">
        <f>1+$A10</f>
        <v>2015</v>
      </c>
      <c r="B11" s="17">
        <f>3407-2321</f>
        <v>1086</v>
      </c>
      <c r="C11" s="18">
        <f>-56-68-17</f>
        <v>-141</v>
      </c>
      <c r="D11" s="18">
        <f>B11+C11</f>
        <v>945</v>
      </c>
      <c r="E11" s="18">
        <f>B11+E10</f>
        <v>1632</v>
      </c>
      <c r="F11" s="18">
        <f>C11+F10</f>
        <v>-78</v>
      </c>
      <c r="G11" s="18">
        <f>D11+G10</f>
        <v>1554</v>
      </c>
      <c r="H11" s="21"/>
      <c r="I11" s="21"/>
      <c r="J11" s="21"/>
    </row>
    <row r="12" ht="20.05" customHeight="1">
      <c r="A12" s="32">
        <f>1+$A11</f>
        <v>2016</v>
      </c>
      <c r="B12" s="17">
        <f>2710-2245</f>
        <v>465</v>
      </c>
      <c r="C12" s="18">
        <f>-56-46-7</f>
        <v>-109</v>
      </c>
      <c r="D12" s="18">
        <f>B12+C12</f>
        <v>356</v>
      </c>
      <c r="E12" s="18">
        <f>B12+E11</f>
        <v>2097</v>
      </c>
      <c r="F12" s="18">
        <f>C12+F11</f>
        <v>-187</v>
      </c>
      <c r="G12" s="18">
        <f>D12+G11</f>
        <v>1910</v>
      </c>
      <c r="H12" s="21"/>
      <c r="I12" s="21"/>
      <c r="J12" s="21"/>
    </row>
    <row r="13" ht="20.05" customHeight="1">
      <c r="A13" s="32">
        <f>1+$A12</f>
        <v>2017</v>
      </c>
      <c r="B13" s="17">
        <f>1385-1583</f>
        <v>-198</v>
      </c>
      <c r="C13" s="18">
        <f>-46-17</f>
        <v>-63</v>
      </c>
      <c r="D13" s="18">
        <f>B13+C13</f>
        <v>-261</v>
      </c>
      <c r="E13" s="18">
        <f>B13+E12</f>
        <v>1899</v>
      </c>
      <c r="F13" s="18">
        <f>C13+F12</f>
        <v>-250</v>
      </c>
      <c r="G13" s="18">
        <f>D13+G12</f>
        <v>1649</v>
      </c>
      <c r="H13" s="21"/>
      <c r="I13" s="21"/>
      <c r="J13" s="21"/>
    </row>
    <row r="14" ht="20.05" customHeight="1">
      <c r="A14" s="32">
        <f>1+$A13</f>
        <v>2018</v>
      </c>
      <c r="B14" s="17">
        <f>3214-2595</f>
        <v>619</v>
      </c>
      <c r="C14" s="18">
        <v>-138</v>
      </c>
      <c r="D14" s="18">
        <f>B14+C14</f>
        <v>481</v>
      </c>
      <c r="E14" s="18">
        <f>B14+E13</f>
        <v>2518</v>
      </c>
      <c r="F14" s="18">
        <f>C14+F13</f>
        <v>-388</v>
      </c>
      <c r="G14" s="18">
        <f>D14+G13</f>
        <v>2130</v>
      </c>
      <c r="H14" s="21"/>
      <c r="I14" s="21"/>
      <c r="J14" s="21"/>
    </row>
    <row r="15" ht="20.05" customHeight="1">
      <c r="A15" s="32">
        <f>1+$A14</f>
        <v>2019</v>
      </c>
      <c r="B15" s="17">
        <f>2953-2857</f>
        <v>96</v>
      </c>
      <c r="C15" s="18">
        <v>-6</v>
      </c>
      <c r="D15" s="18">
        <f>B15+C15</f>
        <v>90</v>
      </c>
      <c r="E15" s="18">
        <f>B15+E14</f>
        <v>2614</v>
      </c>
      <c r="F15" s="18">
        <f>C15+F14</f>
        <v>-394</v>
      </c>
      <c r="G15" s="18">
        <f>D15+G14</f>
        <v>2220</v>
      </c>
      <c r="H15" s="21"/>
      <c r="I15" s="21"/>
      <c r="J15" s="21"/>
    </row>
    <row r="16" ht="20.05" customHeight="1">
      <c r="A16" s="32">
        <f>1+$A15</f>
        <v>2020</v>
      </c>
      <c r="B16" s="17">
        <f>3882-4291+600</f>
        <v>191</v>
      </c>
      <c r="C16" s="18">
        <v>-16</v>
      </c>
      <c r="D16" s="18">
        <f>B16+C16</f>
        <v>175</v>
      </c>
      <c r="E16" s="18">
        <f>B16+E15</f>
        <v>2805</v>
      </c>
      <c r="F16" s="18">
        <f>C16+F15</f>
        <v>-410</v>
      </c>
      <c r="G16" s="18">
        <f>D16+G15</f>
        <v>2395</v>
      </c>
      <c r="H16" s="21"/>
      <c r="I16" s="21"/>
      <c r="J16" s="21"/>
    </row>
    <row r="17" ht="20.05" customHeight="1">
      <c r="A17" s="32">
        <f>1+$A16</f>
        <v>2021</v>
      </c>
      <c r="B17" s="17">
        <f>SUM('Cashflow '!G28:G31)</f>
        <v>-803.2</v>
      </c>
      <c r="C17" s="18">
        <f>SUM('Cashflow '!H28:H31)</f>
        <v>-4</v>
      </c>
      <c r="D17" s="18">
        <f>B17+C17</f>
        <v>-807.2</v>
      </c>
      <c r="E17" s="18">
        <f>B17+E16</f>
        <v>2001.8</v>
      </c>
      <c r="F17" s="18">
        <f>C17+F16</f>
        <v>-414</v>
      </c>
      <c r="G17" s="18">
        <f>D17+G16</f>
        <v>1587.8</v>
      </c>
      <c r="H17" s="18">
        <f>AVERAGE(D3:D17)</f>
        <v>105.853333333333</v>
      </c>
      <c r="I17" s="18">
        <f>AVERAGE(D13:D17)</f>
        <v>-64.44</v>
      </c>
      <c r="J17" s="37">
        <f>SUM('Cashflow '!G29:H32)</f>
        <v>-511.3</v>
      </c>
    </row>
    <row r="18" ht="20.05" customHeight="1">
      <c r="A18" s="32">
        <f>1+$A17</f>
        <v>2022</v>
      </c>
      <c r="B18" s="17">
        <f>'Cashflow '!G32</f>
        <v>-2</v>
      </c>
      <c r="C18" s="18">
        <f>'Cashflow '!H32</f>
        <v>-1.1</v>
      </c>
      <c r="D18" s="18">
        <f>B18+C18</f>
        <v>-3.1</v>
      </c>
      <c r="E18" s="18">
        <f>B18+E17</f>
        <v>1999.8</v>
      </c>
      <c r="F18" s="18">
        <f>C18+F17</f>
        <v>-415.1</v>
      </c>
      <c r="G18" s="18">
        <f>D18+G17</f>
        <v>1584.7</v>
      </c>
      <c r="H18" s="21"/>
      <c r="I18" s="21"/>
      <c r="J18" s="21"/>
    </row>
    <row r="20" ht="27.65" customHeight="1">
      <c r="K20" t="s" s="2">
        <v>63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ht="20.25" customHeight="1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20.25" customHeight="1">
      <c r="K22" s="52"/>
      <c r="L22" t="s" s="53">
        <v>64</v>
      </c>
      <c r="M22" s="54">
        <v>4055522607104</v>
      </c>
      <c r="N22" s="8"/>
      <c r="O22" s="8"/>
      <c r="P22" s="8"/>
      <c r="Q22" s="8"/>
      <c r="R22" s="8"/>
      <c r="S22" s="8"/>
      <c r="T22" s="8"/>
      <c r="U22" s="8"/>
      <c r="V22" s="8"/>
    </row>
    <row r="23" ht="32.05" customHeight="1">
      <c r="K23" s="29"/>
      <c r="L23" t="s" s="55">
        <v>65</v>
      </c>
      <c r="M23" t="s" s="56">
        <v>66</v>
      </c>
      <c r="N23" s="16">
        <f>T42</f>
        <v>-0.199037233471721</v>
      </c>
      <c r="O23" t="s" s="56">
        <f>U42</f>
        <v>67</v>
      </c>
      <c r="P23" t="s" s="56">
        <f>V42</f>
        <v>68</v>
      </c>
      <c r="Q23" s="21"/>
      <c r="R23" s="21"/>
      <c r="S23" s="21"/>
      <c r="T23" s="21"/>
      <c r="U23" s="21"/>
      <c r="V23" s="21"/>
    </row>
    <row r="24" ht="20.05" customHeight="1">
      <c r="K24" s="29"/>
      <c r="L24" s="57">
        <v>44651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ht="20.05" customHeight="1">
      <c r="K25" s="29"/>
      <c r="L25" t="s" s="55">
        <v>69</v>
      </c>
      <c r="M25" s="37">
        <f>$A3</f>
        <v>2007</v>
      </c>
      <c r="N25" s="21"/>
      <c r="O25" s="21"/>
      <c r="P25" s="21"/>
      <c r="Q25" s="21"/>
      <c r="R25" s="21"/>
      <c r="S25" s="21"/>
      <c r="T25" s="21"/>
      <c r="U25" s="21"/>
      <c r="V25" s="21"/>
    </row>
    <row r="26" ht="32.05" customHeight="1">
      <c r="K26" s="29"/>
      <c r="L26" t="s" s="55">
        <v>70</v>
      </c>
      <c r="M26" s="37">
        <f>(2022-M25)*4</f>
        <v>60</v>
      </c>
      <c r="N26" s="21"/>
      <c r="O26" s="21"/>
      <c r="P26" s="21"/>
      <c r="Q26" s="21"/>
      <c r="R26" s="21"/>
      <c r="S26" s="21"/>
      <c r="T26" s="21"/>
      <c r="U26" s="21"/>
      <c r="V26" s="21"/>
    </row>
    <row r="27" ht="32.05" customHeight="1">
      <c r="K27" s="29"/>
      <c r="L27" t="s" s="55">
        <v>71</v>
      </c>
      <c r="M27" s="18">
        <f>(M22/1000000000)</f>
        <v>4055.522607104</v>
      </c>
      <c r="N27" s="21"/>
      <c r="O27" s="21"/>
      <c r="P27" s="21"/>
      <c r="Q27" s="21"/>
      <c r="R27" s="21"/>
      <c r="S27" s="21"/>
      <c r="T27" s="21"/>
      <c r="U27" s="21"/>
      <c r="V27" s="21"/>
    </row>
    <row r="28" ht="20.05" customHeight="1">
      <c r="K28" s="29"/>
      <c r="L28" t="s" s="55">
        <v>11</v>
      </c>
      <c r="M28" s="18">
        <f>R32</f>
        <v>2001.8</v>
      </c>
      <c r="N28" t="s" s="56">
        <f>R29</f>
        <v>72</v>
      </c>
      <c r="O28" t="s" s="56">
        <f>IF(M28&gt;0,"raised","paid")</f>
        <v>73</v>
      </c>
      <c r="P28" s="21"/>
      <c r="Q28" s="21"/>
      <c r="R28" s="21"/>
      <c r="S28" s="21"/>
      <c r="T28" s="21"/>
      <c r="U28" s="21"/>
      <c r="V28" s="21"/>
    </row>
    <row r="29" ht="32.05" customHeight="1">
      <c r="K29" s="29"/>
      <c r="L29" t="s" s="55">
        <f>L23</f>
        <v>65</v>
      </c>
      <c r="M29" t="s" s="56">
        <v>74</v>
      </c>
      <c r="N29" t="s" s="56">
        <f>IF(Q29&gt;0,"raised","paid")</f>
        <v>73</v>
      </c>
      <c r="O29" t="s" s="56">
        <v>75</v>
      </c>
      <c r="P29" t="s" s="56">
        <v>76</v>
      </c>
      <c r="Q29" s="18">
        <f>AVERAGE(B3:B17)</f>
        <v>133.453333333333</v>
      </c>
      <c r="R29" t="s" s="56">
        <v>72</v>
      </c>
      <c r="S29" t="s" s="56">
        <v>77</v>
      </c>
      <c r="T29" s="16">
        <f>Q29/M27</f>
        <v>0.0329065687119003</v>
      </c>
      <c r="U29" t="s" s="56">
        <v>67</v>
      </c>
      <c r="V29" s="21"/>
    </row>
    <row r="30" ht="32.05" customHeight="1">
      <c r="K30" s="29"/>
      <c r="L30" t="s" s="55">
        <v>78</v>
      </c>
      <c r="M30" t="s" s="56">
        <f>O29</f>
        <v>75</v>
      </c>
      <c r="N30" t="s" s="56">
        <v>79</v>
      </c>
      <c r="O30" t="s" s="56">
        <f>IF(Q30&gt;0,"raised","paid")</f>
        <v>80</v>
      </c>
      <c r="P30" t="s" s="56">
        <v>76</v>
      </c>
      <c r="Q30" s="18">
        <f>AVERAGE(B13:B17)</f>
        <v>-19.04</v>
      </c>
      <c r="R30" t="s" s="56">
        <f>R29</f>
        <v>72</v>
      </c>
      <c r="S30" t="s" s="56">
        <v>77</v>
      </c>
      <c r="T30" s="16">
        <f>Q30/M27</f>
        <v>-0.00469483266266298</v>
      </c>
      <c r="U30" t="s" s="56">
        <v>67</v>
      </c>
      <c r="V30" s="21"/>
    </row>
    <row r="31" ht="44.05" customHeight="1">
      <c r="K31" s="29"/>
      <c r="L31" t="s" s="55">
        <v>81</v>
      </c>
      <c r="M31" t="s" s="56">
        <v>82</v>
      </c>
      <c r="N31" s="18">
        <f>MAX(E3:E17)</f>
        <v>2805</v>
      </c>
      <c r="O31" t="s" s="56">
        <f>R30</f>
        <v>72</v>
      </c>
      <c r="P31" t="s" s="56">
        <v>83</v>
      </c>
      <c r="Q31" s="37">
        <f>$A16</f>
        <v>2020</v>
      </c>
      <c r="R31" s="21"/>
      <c r="S31" s="21"/>
      <c r="T31" s="21"/>
      <c r="U31" s="21"/>
      <c r="V31" s="21"/>
    </row>
    <row r="32" ht="32.05" customHeight="1">
      <c r="K32" s="29"/>
      <c r="L32" t="s" s="55">
        <v>84</v>
      </c>
      <c r="M32" t="s" s="56">
        <f>M30</f>
        <v>75</v>
      </c>
      <c r="N32" t="s" s="56">
        <v>85</v>
      </c>
      <c r="O32" t="s" s="56">
        <v>86</v>
      </c>
      <c r="P32" t="s" s="56">
        <f>IF(R32&lt;N31,"down","up")</f>
        <v>87</v>
      </c>
      <c r="Q32" t="s" s="56">
        <v>88</v>
      </c>
      <c r="R32" s="18">
        <f>E17</f>
        <v>2001.8</v>
      </c>
      <c r="S32" t="s" s="56">
        <f>R30</f>
        <v>72</v>
      </c>
      <c r="T32" s="21"/>
      <c r="U32" s="21"/>
      <c r="V32" s="21"/>
    </row>
    <row r="33" ht="20.05" customHeight="1">
      <c r="K33" s="29"/>
      <c r="L33" t="s" s="55">
        <v>26</v>
      </c>
      <c r="M33" s="18">
        <f>R37</f>
        <v>-414</v>
      </c>
      <c r="N33" t="s" s="56">
        <f>S32</f>
        <v>72</v>
      </c>
      <c r="O33" t="s" s="56">
        <f>IF(M33&gt;0,"raised","paid")</f>
        <v>80</v>
      </c>
      <c r="P33" s="21"/>
      <c r="Q33" s="21"/>
      <c r="R33" s="21"/>
      <c r="S33" s="21"/>
      <c r="T33" s="21"/>
      <c r="U33" s="21"/>
      <c r="V33" s="21"/>
    </row>
    <row r="34" ht="32.05" customHeight="1">
      <c r="K34" s="29"/>
      <c r="L34" t="s" s="55">
        <f>L29</f>
        <v>65</v>
      </c>
      <c r="M34" t="s" s="56">
        <v>74</v>
      </c>
      <c r="N34" t="s" s="56">
        <f>IF(Q34&gt;0,"raised","paid")</f>
        <v>80</v>
      </c>
      <c r="O34" t="s" s="56">
        <v>89</v>
      </c>
      <c r="P34" t="s" s="56">
        <f>P29</f>
        <v>76</v>
      </c>
      <c r="Q34" s="18">
        <f>AVERAGE(C3:C17)</f>
        <v>-27.6</v>
      </c>
      <c r="R34" t="s" s="56">
        <f>R29</f>
        <v>72</v>
      </c>
      <c r="S34" t="s" s="56">
        <f>S29</f>
        <v>77</v>
      </c>
      <c r="T34" s="16">
        <f>Q34/M27</f>
        <v>-0.0068055347420955</v>
      </c>
      <c r="U34" t="s" s="56">
        <f>U29</f>
        <v>67</v>
      </c>
      <c r="V34" s="21"/>
    </row>
    <row r="35" ht="32.05" customHeight="1">
      <c r="K35" s="29"/>
      <c r="L35" t="s" s="55">
        <v>78</v>
      </c>
      <c r="M35" t="s" s="56">
        <f>O34</f>
        <v>89</v>
      </c>
      <c r="N35" t="s" s="56">
        <v>90</v>
      </c>
      <c r="O35" t="s" s="56">
        <f>IF(Q35&gt;0,"raised","paid")</f>
        <v>80</v>
      </c>
      <c r="P35" t="s" s="56">
        <v>76</v>
      </c>
      <c r="Q35" s="18">
        <f>AVERAGE(C13:C17)</f>
        <v>-45.4</v>
      </c>
      <c r="R35" t="s" s="56">
        <f>R34</f>
        <v>72</v>
      </c>
      <c r="S35" t="s" s="56">
        <v>77</v>
      </c>
      <c r="T35" s="16">
        <f>Q35/M27</f>
        <v>-0.0111946114960556</v>
      </c>
      <c r="U35" t="s" s="56">
        <f>U30</f>
        <v>67</v>
      </c>
      <c r="V35" s="21"/>
    </row>
    <row r="36" ht="44.05" customHeight="1">
      <c r="K36" s="29"/>
      <c r="L36" t="s" s="55">
        <v>91</v>
      </c>
      <c r="M36" t="s" s="56">
        <v>82</v>
      </c>
      <c r="N36" s="18">
        <f>MAX(F3:F17)</f>
        <v>1080</v>
      </c>
      <c r="O36" t="s" s="56">
        <f>R35</f>
        <v>72</v>
      </c>
      <c r="P36" t="s" s="56">
        <v>83</v>
      </c>
      <c r="Q36" s="37">
        <f>$A3</f>
        <v>2007</v>
      </c>
      <c r="R36" s="21"/>
      <c r="S36" s="21"/>
      <c r="T36" s="21"/>
      <c r="U36" s="21"/>
      <c r="V36" s="21"/>
    </row>
    <row r="37" ht="32.05" customHeight="1">
      <c r="K37" s="29"/>
      <c r="L37" t="s" s="55">
        <v>84</v>
      </c>
      <c r="M37" t="s" s="56">
        <f>M35</f>
        <v>89</v>
      </c>
      <c r="N37" t="s" s="56">
        <v>85</v>
      </c>
      <c r="O37" t="s" s="56">
        <v>92</v>
      </c>
      <c r="P37" t="s" s="56">
        <f>IF(R37&lt;N36,"down","up")</f>
        <v>87</v>
      </c>
      <c r="Q37" t="s" s="56">
        <v>88</v>
      </c>
      <c r="R37" s="18">
        <f>F17</f>
        <v>-414</v>
      </c>
      <c r="S37" t="s" s="56">
        <f>R35</f>
        <v>72</v>
      </c>
      <c r="T37" s="21"/>
      <c r="U37" s="21"/>
      <c r="V37" s="21"/>
    </row>
    <row r="38" ht="20.05" customHeight="1">
      <c r="K38" s="29"/>
      <c r="L38" t="s" s="55">
        <v>93</v>
      </c>
      <c r="M38" s="18">
        <f>R42</f>
        <v>1587.8</v>
      </c>
      <c r="N38" t="s" s="56">
        <f>S37</f>
        <v>72</v>
      </c>
      <c r="O38" t="s" s="56">
        <f>IF(M38&gt;0,"raised","paid")</f>
        <v>73</v>
      </c>
      <c r="P38" s="21"/>
      <c r="Q38" s="21"/>
      <c r="R38" s="21"/>
      <c r="S38" s="21"/>
      <c r="T38" s="21"/>
      <c r="U38" s="21"/>
      <c r="V38" s="21"/>
    </row>
    <row r="39" ht="32.05" customHeight="1">
      <c r="K39" s="29"/>
      <c r="L39" t="s" s="55">
        <f>L34</f>
        <v>65</v>
      </c>
      <c r="M39" t="s" s="56">
        <v>74</v>
      </c>
      <c r="N39" t="s" s="56">
        <f>IF(Q39&gt;0,"raised","paid")</f>
        <v>73</v>
      </c>
      <c r="O39" t="s" s="56">
        <v>94</v>
      </c>
      <c r="P39" t="s" s="56">
        <f>P34</f>
        <v>76</v>
      </c>
      <c r="Q39" s="18">
        <f>AVERAGE(D3:D17)</f>
        <v>105.853333333333</v>
      </c>
      <c r="R39" t="s" s="56">
        <f>R34</f>
        <v>72</v>
      </c>
      <c r="S39" t="s" s="56">
        <f>S34</f>
        <v>77</v>
      </c>
      <c r="T39" s="16">
        <f>Q39/M27</f>
        <v>0.0261010339698048</v>
      </c>
      <c r="U39" t="s" s="56">
        <f>U34</f>
        <v>67</v>
      </c>
      <c r="V39" s="21"/>
    </row>
    <row r="40" ht="32.05" customHeight="1">
      <c r="K40" s="29"/>
      <c r="L40" t="s" s="55">
        <v>78</v>
      </c>
      <c r="M40" t="s" s="56">
        <f>O39</f>
        <v>94</v>
      </c>
      <c r="N40" t="s" s="56">
        <v>90</v>
      </c>
      <c r="O40" t="s" s="56">
        <f>IF(Q40&gt;0,"raised","paid")</f>
        <v>80</v>
      </c>
      <c r="P40" t="s" s="56">
        <v>76</v>
      </c>
      <c r="Q40" s="18">
        <f>AVERAGE(D13:D17)</f>
        <v>-64.44</v>
      </c>
      <c r="R40" t="s" s="56">
        <f>R39</f>
        <v>72</v>
      </c>
      <c r="S40" t="s" s="56">
        <v>77</v>
      </c>
      <c r="T40" s="16">
        <f>Q40/M27</f>
        <v>-0.0158894441587186</v>
      </c>
      <c r="U40" t="s" s="56">
        <f>U35</f>
        <v>67</v>
      </c>
      <c r="V40" s="21"/>
    </row>
    <row r="41" ht="44.05" customHeight="1">
      <c r="K41" s="29"/>
      <c r="L41" t="s" s="55">
        <v>95</v>
      </c>
      <c r="M41" t="s" s="56">
        <v>82</v>
      </c>
      <c r="N41" s="18">
        <f>MAX(G3:G17)</f>
        <v>2395</v>
      </c>
      <c r="O41" t="s" s="56">
        <f>R40</f>
        <v>72</v>
      </c>
      <c r="P41" t="s" s="56">
        <v>83</v>
      </c>
      <c r="Q41" s="37">
        <f>$A16</f>
        <v>2020</v>
      </c>
      <c r="R41" s="21"/>
      <c r="S41" s="21"/>
      <c r="T41" s="21"/>
      <c r="U41" s="21"/>
      <c r="V41" s="21"/>
    </row>
    <row r="42" ht="32.05" customHeight="1">
      <c r="K42" s="29"/>
      <c r="L42" t="s" s="55">
        <v>84</v>
      </c>
      <c r="M42" t="s" s="56">
        <f>M40</f>
        <v>94</v>
      </c>
      <c r="N42" t="s" s="56">
        <v>85</v>
      </c>
      <c r="O42" t="s" s="56">
        <v>92</v>
      </c>
      <c r="P42" t="s" s="56">
        <f>IF(R42&lt;N41,"down","up")</f>
        <v>87</v>
      </c>
      <c r="Q42" t="s" s="56">
        <v>88</v>
      </c>
      <c r="R42" s="18">
        <f>G17</f>
        <v>1587.8</v>
      </c>
      <c r="S42" t="s" s="56">
        <f>R40</f>
        <v>72</v>
      </c>
      <c r="T42" s="16">
        <f>AVERAGE(D17)/M27</f>
        <v>-0.199037233471721</v>
      </c>
      <c r="U42" t="s" s="56">
        <f>U40</f>
        <v>67</v>
      </c>
      <c r="V42" t="s" s="56">
        <v>68</v>
      </c>
    </row>
  </sheetData>
  <mergeCells count="2">
    <mergeCell ref="A1:J1"/>
    <mergeCell ref="K20:V2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