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<sst xmlns="http://schemas.openxmlformats.org/spreadsheetml/2006/main" uniqueCount="88">
  <si>
    <t>Financial model</t>
  </si>
  <si>
    <t>Rpbn</t>
  </si>
  <si>
    <t>4Q 2022</t>
  </si>
  <si>
    <t xml:space="preserve">Cashflow </t>
  </si>
  <si>
    <t xml:space="preserve">Sales growth </t>
  </si>
  <si>
    <t>Sales</t>
  </si>
  <si>
    <t xml:space="preserve">Cost ratio 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</si>
  <si>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</si>
  <si>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</si>
  <si>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</si>
  <si>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</si>
  <si>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</si>
  <si>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 xml:space="preserve">Revolver </t>
  </si>
  <si>
    <t xml:space="preserve">Equity </t>
  </si>
  <si>
    <t xml:space="preserve">Before revolver </t>
  </si>
  <si>
    <t>Beginning</t>
  </si>
  <si>
    <t xml:space="preserve">Change </t>
  </si>
  <si>
    <t xml:space="preserve">Ending 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</si>
  <si>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</si>
  <si>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</si>
  <si>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</si>
  <si>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</si>
  <si>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</si>
  <si>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</si>
  <si>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</si>
  <si>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</si>
  <si>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</si>
  <si>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</si>
  <si>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</si>
  <si>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</si>
  <si>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</si>
  <si>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</si>
  <si>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</si>
  <si>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</si>
  <si>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</si>
  <si>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</si>
  <si>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</si>
  <si>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</si>
  <si>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</si>
  <si>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</si>
  <si>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</si>
  <si>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</si>
  <si>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Other non-cash costs</t>
  </si>
  <si>
    <t xml:space="preserve">Net income </t>
  </si>
  <si>
    <t>Cashflow costs</t>
  </si>
  <si>
    <t xml:space="preserve">Receipts </t>
  </si>
  <si>
    <t>Capex</t>
  </si>
  <si>
    <t>Lease</t>
  </si>
  <si>
    <t>Finance</t>
  </si>
  <si>
    <t xml:space="preserve">Free cashflow </t>
  </si>
  <si>
    <t>Balance sheet</t>
  </si>
  <si>
    <t xml:space="preserve">  Cash</t>
  </si>
  <si>
    <t>Assets</t>
  </si>
  <si>
    <t>Other assets</t>
  </si>
  <si>
    <t>SCMA</t>
  </si>
  <si>
    <t>Date</t>
  </si>
  <si>
    <t>Target</t>
  </si>
  <si>
    <t>Previous Target</t>
  </si>
  <si>
    <t>Capital</t>
  </si>
  <si>
    <t xml:space="preserve">Total </t>
  </si>
  <si>
    <t>Table 1</t>
  </si>
  <si>
    <t xml:space="preserve">capital history </t>
  </si>
  <si>
    <t xml:space="preserve">Start date </t>
  </si>
  <si>
    <t xml:space="preserve">Number of quarters </t>
  </si>
  <si>
    <t xml:space="preserve">billion rupiah </t>
  </si>
  <si>
    <t>paid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</si>
  <si>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</si>
  <si>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</si>
  <si>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</si>
  <si>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</si>
  <si>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</si>
  <si>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</si>
  <si>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>raised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</si>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</sst>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_);[Red]\(#,##0%\)"/>
    <numFmt numFmtId="60" formatCode="#,##0%"/>
    <numFmt numFmtId="61" formatCode="mmmm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center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horizontal="left" vertical="center" wrapText="1"/>
    </xf>
    <xf numFmtId="59" fontId="0" borderId="3" applyNumberFormat="1" applyFont="1" applyFill="0" applyBorder="1" applyAlignment="1" applyProtection="0">
      <alignment horizontal="right" vertical="center"/>
    </xf>
    <xf numFmtId="59" fontId="0" borderId="4" applyNumberFormat="1" applyFont="1" applyFill="0" applyBorder="1" applyAlignment="1" applyProtection="0">
      <alignment horizontal="right" vertical="center"/>
    </xf>
    <xf numFmtId="0" fontId="0" borderId="4" applyNumberFormat="0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 wrapText="1"/>
    </xf>
    <xf numFmtId="60" fontId="0" borderId="6" applyNumberFormat="1" applyFont="1" applyFill="0" applyBorder="1" applyAlignment="1" applyProtection="0">
      <alignment horizontal="right" vertical="center"/>
    </xf>
    <xf numFmtId="60" fontId="0" borderId="7" applyNumberFormat="1" applyFont="1" applyFill="0" applyBorder="1" applyAlignment="1" applyProtection="0">
      <alignment horizontal="right" vertical="center"/>
    </xf>
    <xf numFmtId="38" fontId="0" borderId="6" applyNumberFormat="1" applyFont="1" applyFill="0" applyBorder="1" applyAlignment="1" applyProtection="0">
      <alignment horizontal="right" vertical="center"/>
    </xf>
    <xf numFmtId="38" fontId="0" borderId="7" applyNumberFormat="1" applyFont="1" applyFill="0" applyBorder="1" applyAlignment="1" applyProtection="0">
      <alignment horizontal="right" vertical="center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horizontal="left" vertical="center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right" vertical="center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vertical="top"/>
    </xf>
    <xf numFmtId="3" fontId="0" borderId="4" applyNumberFormat="1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1" fontId="0" borderId="7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8049"/>
          <c:y val="0.0446026"/>
          <c:w val="0.802281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'!$A$3:$A$15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 '!$E$3:$E$15</c:f>
              <c:numCache>
                <c:ptCount val="13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-529.000000</c:v>
                </c:pt>
                <c:pt idx="4">
                  <c:v>-529.000000</c:v>
                </c:pt>
                <c:pt idx="5">
                  <c:v>-585.000000</c:v>
                </c:pt>
                <c:pt idx="6">
                  <c:v>-704.000000</c:v>
                </c:pt>
                <c:pt idx="7">
                  <c:v>-855.000000</c:v>
                </c:pt>
                <c:pt idx="8">
                  <c:v>-1001.000000</c:v>
                </c:pt>
                <c:pt idx="9">
                  <c:v>-1048.000000</c:v>
                </c:pt>
                <c:pt idx="10">
                  <c:v>-1051.000000</c:v>
                </c:pt>
                <c:pt idx="11">
                  <c:v>250.000000</c:v>
                </c:pt>
                <c:pt idx="12">
                  <c:v>-662.000000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'!$A$3:$A$15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 '!$F$3:$F$15</c:f>
              <c:numCache>
                <c:ptCount val="13"/>
                <c:pt idx="0">
                  <c:v>-243.000000</c:v>
                </c:pt>
                <c:pt idx="1">
                  <c:v>-682.000000</c:v>
                </c:pt>
                <c:pt idx="2">
                  <c:v>-1578.000000</c:v>
                </c:pt>
                <c:pt idx="3">
                  <c:v>-1822.000000</c:v>
                </c:pt>
                <c:pt idx="4">
                  <c:v>-2755.000000</c:v>
                </c:pt>
                <c:pt idx="5">
                  <c:v>-3510.000000</c:v>
                </c:pt>
                <c:pt idx="6">
                  <c:v>-5340.000000</c:v>
                </c:pt>
                <c:pt idx="7">
                  <c:v>-6557.000000</c:v>
                </c:pt>
                <c:pt idx="8">
                  <c:v>-7408.000000</c:v>
                </c:pt>
                <c:pt idx="9">
                  <c:v>-8212.000000</c:v>
                </c:pt>
                <c:pt idx="10">
                  <c:v>-8748.000000</c:v>
                </c:pt>
                <c:pt idx="11">
                  <c:v>-11541.000000</c:v>
                </c:pt>
                <c:pt idx="12">
                  <c:v>-11558.200000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'!$A$3:$A$15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 '!$G$3:$G$15</c:f>
              <c:numCache>
                <c:ptCount val="13"/>
                <c:pt idx="0">
                  <c:v>-243.000000</c:v>
                </c:pt>
                <c:pt idx="1">
                  <c:v>-682.000000</c:v>
                </c:pt>
                <c:pt idx="2">
                  <c:v>-1578.000000</c:v>
                </c:pt>
                <c:pt idx="3">
                  <c:v>-2351.000000</c:v>
                </c:pt>
                <c:pt idx="4">
                  <c:v>-3284.000000</c:v>
                </c:pt>
                <c:pt idx="5">
                  <c:v>-4095.000000</c:v>
                </c:pt>
                <c:pt idx="6">
                  <c:v>-6044.000000</c:v>
                </c:pt>
                <c:pt idx="7">
                  <c:v>-7412.000000</c:v>
                </c:pt>
                <c:pt idx="8">
                  <c:v>-8409.000000</c:v>
                </c:pt>
                <c:pt idx="9">
                  <c:v>-9260.000000</c:v>
                </c:pt>
                <c:pt idx="10">
                  <c:v>-9799.000000</c:v>
                </c:pt>
                <c:pt idx="11">
                  <c:v>-11291.000000</c:v>
                </c:pt>
                <c:pt idx="12">
                  <c:v>-12220.200000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4375"/>
        <c:minorUnit val="2187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48514"/>
          <c:y val="0.0620157"/>
          <c:w val="0.386574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408144</xdr:colOff>
      <xdr:row>2</xdr:row>
      <xdr:rowOff>91193</xdr:rowOff>
    </xdr:from>
    <xdr:to>
      <xdr:col>13</xdr:col>
      <xdr:colOff>116942</xdr:colOff>
      <xdr:row>46</xdr:row>
      <xdr:rowOff>185147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57844" y="750323"/>
          <a:ext cx="8420999" cy="11302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149960</xdr:colOff>
      <xdr:row>18</xdr:row>
      <xdr:rowOff>331048</xdr:rowOff>
    </xdr:from>
    <xdr:to>
      <xdr:col>5</xdr:col>
      <xdr:colOff>313980</xdr:colOff>
      <xdr:row>28</xdr:row>
      <xdr:rowOff>52474</xdr:rowOff>
    </xdr:to>
    <xdr:graphicFrame>
      <xdr:nvGraphicFramePr>
        <xdr:cNvPr id="4" name="2D Line Chart"/>
        <xdr:cNvGraphicFramePr/>
      </xdr:nvGraphicFramePr>
      <xdr:xfrm>
        <a:off x="1038960" y="5113233"/>
        <a:ext cx="3720021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392117</xdr:colOff>
      <xdr:row>16</xdr:row>
      <xdr:rowOff>244491</xdr:rowOff>
    </xdr:from>
    <xdr:to>
      <xdr:col>5</xdr:col>
      <xdr:colOff>505359</xdr:colOff>
      <xdr:row>19</xdr:row>
      <xdr:rowOff>122778</xdr:rowOff>
    </xdr:to>
    <xdr:sp>
      <xdr:nvSpPr>
        <xdr:cNvPr id="5" name="SCMA HAS PAID 12 TRILLION RUPIAH"/>
        <xdr:cNvSpPr txBox="1"/>
      </xdr:nvSpPr>
      <xdr:spPr>
        <a:xfrm>
          <a:off x="1281117" y="4418346"/>
          <a:ext cx="3669243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SCMA HAS PAID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12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99219" style="1" customWidth="1"/>
    <col min="2" max="2" width="15.1172" style="1" customWidth="1"/>
    <col min="3" max="6" width="8.6875" style="1" customWidth="1"/>
    <col min="7" max="16384" width="16.3516" style="1" customWidth="1"/>
  </cols>
  <sheetData>
    <row r="1" ht="24.2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5"/>
      <c r="F3" t="s" s="6">
        <v>2</v>
      </c>
    </row>
    <row r="4" ht="20.25" customHeight="1">
      <c r="B4" t="s" s="7">
        <v>3</v>
      </c>
      <c r="C4" s="8">
        <f>AVERAGE('Sales'!H28:H31)</f>
        <v>0.00680342496139075</v>
      </c>
      <c r="D4" s="9"/>
      <c r="E4" s="10"/>
      <c r="F4" s="9">
        <f>AVERAGE(C5:F5)</f>
        <v>0.0375</v>
      </c>
    </row>
    <row r="5" ht="20.05" customHeight="1">
      <c r="B5" t="s" s="11">
        <v>4</v>
      </c>
      <c r="C5" s="12">
        <v>0</v>
      </c>
      <c r="D5" s="13">
        <v>0.12</v>
      </c>
      <c r="E5" s="13">
        <v>-0.04</v>
      </c>
      <c r="F5" s="13">
        <v>0.07000000000000001</v>
      </c>
    </row>
    <row r="6" ht="20.05" customHeight="1">
      <c r="B6" t="s" s="11">
        <v>5</v>
      </c>
      <c r="C6" s="14">
        <f>'Sales'!C31*(1+C5)</f>
        <v>1539.6</v>
      </c>
      <c r="D6" s="15">
        <f>C6*(1+D5)</f>
        <v>1724.352</v>
      </c>
      <c r="E6" s="15">
        <f>D6*(1+E5)</f>
        <v>1655.37792</v>
      </c>
      <c r="F6" s="15">
        <f>E6*(1+F5)</f>
        <v>1771.2543744</v>
      </c>
    </row>
    <row r="7" ht="20.05" customHeight="1">
      <c r="B7" t="s" s="11">
        <v>6</v>
      </c>
      <c r="C7" s="16">
        <f>AVERAGE('Sales'!J31)</f>
        <v>-0.741850078944791</v>
      </c>
      <c r="D7" s="17">
        <f>C7</f>
        <v>-0.741850078944791</v>
      </c>
      <c r="E7" s="17">
        <f>D7</f>
        <v>-0.741850078944791</v>
      </c>
      <c r="F7" s="17">
        <f>E7</f>
        <v>-0.741850078944791</v>
      </c>
    </row>
    <row r="8" ht="20.05" customHeight="1">
      <c r="B8" t="s" s="11">
        <v>7</v>
      </c>
      <c r="C8" s="18">
        <f>C6*C7</f>
        <v>-1142.1523815434</v>
      </c>
      <c r="D8" s="19">
        <f>D6*D7</f>
        <v>-1279.210667328610</v>
      </c>
      <c r="E8" s="19">
        <f>E6*E7</f>
        <v>-1228.042240635460</v>
      </c>
      <c r="F8" s="19">
        <f>F6*F7</f>
        <v>-1314.005197479950</v>
      </c>
    </row>
    <row r="9" ht="20.05" customHeight="1">
      <c r="B9" t="s" s="11">
        <v>8</v>
      </c>
      <c r="C9" s="20">
        <f>C6+C8</f>
        <v>397.4476184566</v>
      </c>
      <c r="D9" s="21">
        <f>D6+D8</f>
        <v>445.141332671390</v>
      </c>
      <c r="E9" s="21">
        <f>E6+E8</f>
        <v>427.335679364540</v>
      </c>
      <c r="F9" s="21">
        <f>F6+F8</f>
        <v>457.249176920050</v>
      </c>
    </row>
    <row r="10" ht="20.05" customHeight="1">
      <c r="B10" t="s" s="11">
        <v>9</v>
      </c>
      <c r="C10" s="20">
        <f>AVERAGE('Cashflow'!E28:E31)</f>
        <v>-53.175</v>
      </c>
      <c r="D10" s="21">
        <f>C10</f>
        <v>-53.175</v>
      </c>
      <c r="E10" s="21">
        <f>D10</f>
        <v>-53.175</v>
      </c>
      <c r="F10" s="21">
        <f>E10</f>
        <v>-53.175</v>
      </c>
    </row>
    <row r="11" ht="20.05" customHeight="1">
      <c r="B11" t="s" s="11">
        <v>10</v>
      </c>
      <c r="C11" s="18">
        <f>C12+C14+C13</f>
        <v>-344.2726184566</v>
      </c>
      <c r="D11" s="19">
        <f>D12+D14+D13</f>
        <v>-391.966332671390</v>
      </c>
      <c r="E11" s="19">
        <f>E12+E14+E13</f>
        <v>-374.160679364540</v>
      </c>
      <c r="F11" s="19">
        <f>F12+F14+F13</f>
        <v>-404.074176920050</v>
      </c>
    </row>
    <row r="12" ht="20.05" customHeight="1">
      <c r="B12" t="s" s="11">
        <v>11</v>
      </c>
      <c r="C12" s="18">
        <f>-('Balance Sheet '!G31)/20</f>
        <v>-122.6</v>
      </c>
      <c r="D12" s="19">
        <f>-C26/20</f>
        <v>-116.47</v>
      </c>
      <c r="E12" s="19">
        <f>-D26/20</f>
        <v>-110.6465</v>
      </c>
      <c r="F12" s="19">
        <f>-E26/20</f>
        <v>-105.114175</v>
      </c>
    </row>
    <row r="13" ht="20.05" customHeight="1">
      <c r="B13" t="s" s="11">
        <v>12</v>
      </c>
      <c r="C13" s="18">
        <f>-MIN(0,C15)</f>
        <v>23.413214463020</v>
      </c>
      <c r="D13" s="19">
        <f>-MIN(C27,D15)</f>
        <v>2.975100198583</v>
      </c>
      <c r="E13" s="19">
        <f>-MIN(D27,E15)</f>
        <v>2.493296190638</v>
      </c>
      <c r="F13" s="19">
        <f>-MIN(E27,F15)</f>
        <v>-12.013078076015</v>
      </c>
    </row>
    <row r="14" ht="20.05" customHeight="1">
      <c r="B14" t="s" s="11">
        <v>13</v>
      </c>
      <c r="C14" s="22">
        <f>IF(C21&gt;0,-C21*0.7,0)</f>
        <v>-245.085832919620</v>
      </c>
      <c r="D14" s="23">
        <f>IF(D21&gt;0,-D21*0.7,0)</f>
        <v>-278.471432869973</v>
      </c>
      <c r="E14" s="23">
        <f>IF(E21&gt;0,-E21*0.7,0)</f>
        <v>-266.007475555178</v>
      </c>
      <c r="F14" s="23">
        <f>IF(F21&gt;0,-F21*0.7,0)</f>
        <v>-286.946923844035</v>
      </c>
    </row>
    <row r="15" ht="20.05" customHeight="1">
      <c r="B15" t="s" s="11">
        <v>14</v>
      </c>
      <c r="C15" s="18">
        <f>C9+C10+C12+C14</f>
        <v>-23.413214463020</v>
      </c>
      <c r="D15" s="19">
        <f>D9+D10+D12+D14</f>
        <v>-2.975100198583</v>
      </c>
      <c r="E15" s="19">
        <f>E9+E10+E12+E14</f>
        <v>-2.493296190638</v>
      </c>
      <c r="F15" s="19">
        <f>F9+F10+F12+F14</f>
        <v>12.013078076015</v>
      </c>
    </row>
    <row r="16" ht="20.05" customHeight="1">
      <c r="B16" t="s" s="11">
        <v>15</v>
      </c>
      <c r="C16" s="18">
        <f>'Balance Sheet '!C31</f>
        <v>3232</v>
      </c>
      <c r="D16" s="19">
        <f>C18</f>
        <v>3232</v>
      </c>
      <c r="E16" s="19">
        <f>D18</f>
        <v>3232</v>
      </c>
      <c r="F16" s="19">
        <f>E18</f>
        <v>3232</v>
      </c>
    </row>
    <row r="17" ht="20.05" customHeight="1">
      <c r="B17" t="s" s="11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0</v>
      </c>
    </row>
    <row r="18" ht="20.05" customHeight="1">
      <c r="B18" t="s" s="11">
        <v>17</v>
      </c>
      <c r="C18" s="18">
        <f>C16+C17</f>
        <v>3232</v>
      </c>
      <c r="D18" s="19">
        <f>D16+D17</f>
        <v>3232</v>
      </c>
      <c r="E18" s="19">
        <f>E16+E17</f>
        <v>3232</v>
      </c>
      <c r="F18" s="19">
        <f>F16+F17</f>
        <v>3232</v>
      </c>
    </row>
    <row r="19" ht="20.05" customHeight="1">
      <c r="B19" t="s" s="24">
        <v>18</v>
      </c>
      <c r="C19" s="25"/>
      <c r="D19" s="26"/>
      <c r="E19" s="26"/>
      <c r="F19" s="27"/>
    </row>
    <row r="20" ht="20.05" customHeight="1">
      <c r="B20" t="s" s="11">
        <v>19</v>
      </c>
      <c r="C20" s="18">
        <f>-AVERAGE('Sales'!E28:E31)</f>
        <v>-47.325</v>
      </c>
      <c r="D20" s="19">
        <f>C20</f>
        <v>-47.325</v>
      </c>
      <c r="E20" s="19">
        <f>D20</f>
        <v>-47.325</v>
      </c>
      <c r="F20" s="19">
        <f>E20</f>
        <v>-47.325</v>
      </c>
    </row>
    <row r="21" ht="20.05" customHeight="1">
      <c r="B21" t="s" s="11">
        <v>20</v>
      </c>
      <c r="C21" s="20">
        <f>C6+C8+C20</f>
        <v>350.1226184566</v>
      </c>
      <c r="D21" s="21">
        <f>D6+D8+D20</f>
        <v>397.816332671390</v>
      </c>
      <c r="E21" s="21">
        <f>E6+E8+E20</f>
        <v>380.010679364540</v>
      </c>
      <c r="F21" s="21">
        <f>F6+F8+F20</f>
        <v>409.924176920050</v>
      </c>
    </row>
    <row r="22" ht="20.05" customHeight="1">
      <c r="B22" t="s" s="24">
        <v>21</v>
      </c>
      <c r="C22" s="25"/>
      <c r="D22" s="26"/>
      <c r="E22" s="26"/>
      <c r="F22" s="21"/>
    </row>
    <row r="23" ht="20.05" customHeight="1">
      <c r="B23" t="s" s="11">
        <v>22</v>
      </c>
      <c r="C23" s="18">
        <f>'Balance Sheet '!E31+'Balance Sheet '!F31-C10</f>
        <v>9117.174999999999</v>
      </c>
      <c r="D23" s="19">
        <f>C23-D10</f>
        <v>9170.35</v>
      </c>
      <c r="E23" s="19">
        <f>D23-E10</f>
        <v>9223.525</v>
      </c>
      <c r="F23" s="19">
        <f>E23-F10</f>
        <v>9276.700000000001</v>
      </c>
    </row>
    <row r="24" ht="20.05" customHeight="1">
      <c r="B24" t="s" s="11">
        <v>23</v>
      </c>
      <c r="C24" s="18">
        <f>'Balance Sheet '!F31-C20</f>
        <v>2430.325</v>
      </c>
      <c r="D24" s="19">
        <f>C24-D20</f>
        <v>2477.65</v>
      </c>
      <c r="E24" s="19">
        <f>D24-E20</f>
        <v>2524.975</v>
      </c>
      <c r="F24" s="19">
        <f>E24-F20</f>
        <v>2572.3</v>
      </c>
    </row>
    <row r="25" ht="20.05" customHeight="1">
      <c r="B25" t="s" s="11">
        <v>24</v>
      </c>
      <c r="C25" s="18">
        <f>C23-C24</f>
        <v>6686.85</v>
      </c>
      <c r="D25" s="19">
        <f>D23-D24</f>
        <v>6692.7</v>
      </c>
      <c r="E25" s="19">
        <f>E23-E24</f>
        <v>6698.55</v>
      </c>
      <c r="F25" s="19">
        <f>F23-F24</f>
        <v>6704.4</v>
      </c>
    </row>
    <row r="26" ht="20.05" customHeight="1">
      <c r="B26" t="s" s="11">
        <v>11</v>
      </c>
      <c r="C26" s="18">
        <f>'Balance Sheet '!G31+C12</f>
        <v>2329.4</v>
      </c>
      <c r="D26" s="19">
        <f>C26+D12</f>
        <v>2212.93</v>
      </c>
      <c r="E26" s="19">
        <f>D26+E12</f>
        <v>2102.2835</v>
      </c>
      <c r="F26" s="19">
        <f>E26+F12</f>
        <v>1997.169325</v>
      </c>
    </row>
    <row r="27" ht="20.05" customHeight="1">
      <c r="B27" t="s" s="11">
        <v>12</v>
      </c>
      <c r="C27" s="18">
        <f>C13</f>
        <v>23.413214463020</v>
      </c>
      <c r="D27" s="19">
        <f>C27+D13</f>
        <v>26.388314661603</v>
      </c>
      <c r="E27" s="19">
        <f>D27+E13</f>
        <v>28.881610852241</v>
      </c>
      <c r="F27" s="19">
        <f>E27+F13</f>
        <v>16.868532776226</v>
      </c>
    </row>
    <row r="28" ht="20.05" customHeight="1">
      <c r="B28" t="s" s="11">
        <v>13</v>
      </c>
      <c r="C28" s="18">
        <f>'Balance Sheet '!H31+C21+C14</f>
        <v>7566.036785536980</v>
      </c>
      <c r="D28" s="19">
        <f>C28+D21+D14</f>
        <v>7685.3816853384</v>
      </c>
      <c r="E28" s="19">
        <f>D28+E21+E14</f>
        <v>7799.384889147760</v>
      </c>
      <c r="F28" s="19">
        <f>E28+F21+F14</f>
        <v>7922.362142223780</v>
      </c>
    </row>
    <row r="29" ht="20.05" customHeight="1">
      <c r="B29" t="s" s="11">
        <v>25</v>
      </c>
      <c r="C29" s="18">
        <f>C26+C27+C28-C18-C25</f>
        <v>0</v>
      </c>
      <c r="D29" s="19">
        <f>D26+D27+D28-D18-D25</f>
        <v>3e-12</v>
      </c>
      <c r="E29" s="19">
        <f>E26+E27+E28-E18-E25</f>
        <v>1e-12</v>
      </c>
      <c r="F29" s="19">
        <f>F26+F27+F28-F18-F25</f>
        <v>6e-12</v>
      </c>
    </row>
    <row r="30" ht="20.05" customHeight="1">
      <c r="B30" t="s" s="11">
        <v>26</v>
      </c>
      <c r="C30" s="18">
        <f>C18-C26-C27</f>
        <v>879.186785536980</v>
      </c>
      <c r="D30" s="19">
        <f>D18-D26-D27</f>
        <v>992.681685338397</v>
      </c>
      <c r="E30" s="19">
        <f>E18-E26-E27</f>
        <v>1100.834889147760</v>
      </c>
      <c r="F30" s="19">
        <f>F18-F26-F27</f>
        <v>1217.962142223770</v>
      </c>
    </row>
    <row r="31" ht="20.05" customHeight="1">
      <c r="B31" t="s" s="11">
        <v>27</v>
      </c>
      <c r="C31" s="18"/>
      <c r="D31" s="19"/>
      <c r="E31" s="19"/>
      <c r="F31" s="19"/>
    </row>
    <row r="32" ht="20.05" customHeight="1">
      <c r="B32" t="s" s="11">
        <v>28</v>
      </c>
      <c r="C32" s="18">
        <f>'Cashflow'!N31-C11</f>
        <v>5821.8726184566</v>
      </c>
      <c r="D32" s="19">
        <f>C32-D11</f>
        <v>6213.838951127990</v>
      </c>
      <c r="E32" s="19">
        <f>D32-E11</f>
        <v>6587.999630492530</v>
      </c>
      <c r="F32" s="19">
        <f>E32-F11</f>
        <v>6992.073807412580</v>
      </c>
    </row>
    <row r="33" ht="20.05" customHeight="1">
      <c r="B33" t="s" s="11">
        <v>29</v>
      </c>
      <c r="C33" s="18"/>
      <c r="D33" s="19"/>
      <c r="E33" s="19"/>
      <c r="F33" s="19">
        <v>18100882415616</v>
      </c>
    </row>
    <row r="34" ht="20.05" customHeight="1">
      <c r="B34" t="s" s="11">
        <v>29</v>
      </c>
      <c r="C34" s="18"/>
      <c r="D34" s="19"/>
      <c r="E34" s="19"/>
      <c r="F34" s="19">
        <f>F33/1000000000</f>
        <v>18100.882415616</v>
      </c>
    </row>
    <row r="35" ht="20.05" customHeight="1">
      <c r="B35" t="s" s="11">
        <v>30</v>
      </c>
      <c r="C35" s="18"/>
      <c r="D35" s="19"/>
      <c r="E35" s="19"/>
      <c r="F35" s="28">
        <f>F34/(F18+F25)</f>
        <v>1.82167408876615</v>
      </c>
    </row>
    <row r="36" ht="20.05" customHeight="1">
      <c r="B36" t="s" s="11">
        <v>31</v>
      </c>
      <c r="C36" s="18"/>
      <c r="D36" s="19"/>
      <c r="E36" s="19"/>
      <c r="F36" s="13">
        <f>-(C14+D14+E14+F14)/F34</f>
        <v>0.059472883170606</v>
      </c>
    </row>
    <row r="37" ht="20.05" customHeight="1">
      <c r="B37" t="s" s="11">
        <v>32</v>
      </c>
      <c r="C37" s="18"/>
      <c r="D37" s="19"/>
      <c r="E37" s="19"/>
      <c r="F37" s="19">
        <f>SUM(C9:F10)</f>
        <v>1514.473807412580</v>
      </c>
    </row>
    <row r="38" ht="20.05" customHeight="1">
      <c r="B38" t="s" s="11">
        <v>33</v>
      </c>
      <c r="C38" s="18"/>
      <c r="D38" s="19"/>
      <c r="E38" s="19"/>
      <c r="F38" s="19">
        <f>'Balance Sheet '!E31/F37</f>
        <v>4.41143317718662</v>
      </c>
    </row>
    <row r="39" ht="20.05" customHeight="1">
      <c r="B39" t="s" s="11">
        <v>27</v>
      </c>
      <c r="C39" s="18"/>
      <c r="D39" s="19"/>
      <c r="E39" s="19"/>
      <c r="F39" s="19">
        <f>F34/F37</f>
        <v>11.9519283377642</v>
      </c>
    </row>
    <row r="40" ht="20.05" customHeight="1">
      <c r="B40" t="s" s="11">
        <v>34</v>
      </c>
      <c r="C40" s="18"/>
      <c r="D40" s="19"/>
      <c r="E40" s="19"/>
      <c r="F40" s="19">
        <v>24</v>
      </c>
    </row>
    <row r="41" ht="20.05" customHeight="1">
      <c r="B41" t="s" s="11">
        <v>35</v>
      </c>
      <c r="C41" s="18"/>
      <c r="D41" s="19"/>
      <c r="E41" s="19"/>
      <c r="F41" s="19">
        <f>F37*F40</f>
        <v>36347.3713779019</v>
      </c>
    </row>
    <row r="42" ht="20.05" customHeight="1">
      <c r="B42" t="s" s="11">
        <v>36</v>
      </c>
      <c r="C42" s="18"/>
      <c r="D42" s="19"/>
      <c r="E42" s="19"/>
      <c r="F42" s="19">
        <f>F34/F44</f>
        <v>63.289798656</v>
      </c>
    </row>
    <row r="43" ht="20.05" customHeight="1">
      <c r="B43" t="s" s="11">
        <v>37</v>
      </c>
      <c r="C43" s="18"/>
      <c r="D43" s="19"/>
      <c r="E43" s="19"/>
      <c r="F43" s="19">
        <f>F41/F42</f>
        <v>574.300632167615</v>
      </c>
    </row>
    <row r="44" ht="20.05" customHeight="1">
      <c r="B44" t="s" s="11">
        <v>38</v>
      </c>
      <c r="C44" s="18"/>
      <c r="D44" s="19"/>
      <c r="E44" s="19"/>
      <c r="F44" s="19">
        <v>286</v>
      </c>
    </row>
    <row r="45" ht="20.05" customHeight="1">
      <c r="B45" t="s" s="11">
        <v>39</v>
      </c>
      <c r="C45" s="18"/>
      <c r="D45" s="19"/>
      <c r="E45" s="19"/>
      <c r="F45" s="13">
        <f>F43/F44-1</f>
        <v>1.00804416841823</v>
      </c>
    </row>
    <row r="46" ht="20.05" customHeight="1">
      <c r="B46" t="s" s="11">
        <v>40</v>
      </c>
      <c r="C46" s="18"/>
      <c r="D46" s="19"/>
      <c r="E46" s="19"/>
      <c r="F46" s="13">
        <f>'Sales'!C31/'Sales'!C27-1</f>
        <v>0.0154935987494311</v>
      </c>
    </row>
    <row r="47" ht="20.05" customHeight="1">
      <c r="B47" t="s" s="11">
        <v>41</v>
      </c>
      <c r="C47" s="18"/>
      <c r="D47" s="19"/>
      <c r="E47" s="19"/>
      <c r="F47" s="13">
        <f>('Sales'!D22+'Sales'!D31+'Sales'!D30+'Sales'!D23+'Sales'!D24+'Sales'!D25+'Sales'!D26+'Sales'!D27+'Sales'!D28+'Sales'!D29)/('Sales'!C22+'Sales'!C23+'Sales'!C24+'Sales'!C25+'Sales'!C26+'Sales'!C27+'Sales'!C28+'Sales'!C30+'Sales'!C31+'Sales'!C29)-1</f>
        <v>0.0401515548203165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59375" style="29" customWidth="1"/>
    <col min="2" max="2" width="9.39062" style="29" customWidth="1"/>
    <col min="3" max="5" width="10.5547" style="29" customWidth="1"/>
    <col min="6" max="6" width="12.4609" style="29" customWidth="1"/>
    <col min="7" max="12" width="10.5547" style="29" customWidth="1"/>
    <col min="13" max="16384" width="16.3516" style="29" customWidth="1"/>
  </cols>
  <sheetData>
    <row r="1" ht="46.1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6">
        <v>1</v>
      </c>
      <c r="C3" t="s" s="6">
        <v>5</v>
      </c>
      <c r="D3" t="s" s="6">
        <v>34</v>
      </c>
      <c r="E3" t="s" s="6">
        <v>23</v>
      </c>
      <c r="F3" t="s" s="6">
        <v>42</v>
      </c>
      <c r="G3" t="s" s="6">
        <v>43</v>
      </c>
      <c r="H3" t="s" s="6">
        <v>4</v>
      </c>
      <c r="I3" t="s" s="6">
        <v>6</v>
      </c>
      <c r="J3" t="s" s="6">
        <v>6</v>
      </c>
      <c r="K3" t="s" s="6">
        <v>34</v>
      </c>
      <c r="L3" t="s" s="6">
        <v>44</v>
      </c>
    </row>
    <row r="4" ht="20.25" customHeight="1">
      <c r="B4" s="30">
        <v>2015</v>
      </c>
      <c r="C4" s="31">
        <v>949</v>
      </c>
      <c r="D4" s="10"/>
      <c r="E4" s="32">
        <v>30</v>
      </c>
      <c r="F4" s="32"/>
      <c r="G4" s="32">
        <v>321</v>
      </c>
      <c r="H4" s="33"/>
      <c r="I4" s="33">
        <f>(E4+G4-C4)/C4</f>
        <v>-0.6301369863013701</v>
      </c>
      <c r="J4" s="33"/>
      <c r="K4" s="33"/>
      <c r="L4" s="33"/>
    </row>
    <row r="5" ht="20.05" customHeight="1">
      <c r="B5" s="34"/>
      <c r="C5" s="35">
        <v>1223</v>
      </c>
      <c r="D5" s="27"/>
      <c r="E5" s="36">
        <v>31</v>
      </c>
      <c r="F5" s="36"/>
      <c r="G5" s="36">
        <v>476</v>
      </c>
      <c r="H5" s="17">
        <f>C5/C4-1</f>
        <v>0.288724973656481</v>
      </c>
      <c r="I5" s="17">
        <f>(E5+G5-C5)/C5</f>
        <v>-0.585445625511038</v>
      </c>
      <c r="J5" s="17"/>
      <c r="K5" s="17"/>
      <c r="L5" s="17"/>
    </row>
    <row r="6" ht="20.05" customHeight="1">
      <c r="B6" s="34"/>
      <c r="C6" s="35">
        <v>1034</v>
      </c>
      <c r="D6" s="27"/>
      <c r="E6" s="36">
        <v>33</v>
      </c>
      <c r="F6" s="36"/>
      <c r="G6" s="36">
        <v>344</v>
      </c>
      <c r="H6" s="17">
        <f>C6/C5-1</f>
        <v>-0.154538021259199</v>
      </c>
      <c r="I6" s="17">
        <f>(E6+G6-C6)/C6</f>
        <v>-0.635396518375242</v>
      </c>
      <c r="J6" s="17"/>
      <c r="K6" s="17"/>
      <c r="L6" s="17"/>
    </row>
    <row r="7" ht="20.05" customHeight="1">
      <c r="B7" s="34"/>
      <c r="C7" s="35">
        <v>1032</v>
      </c>
      <c r="D7" s="27"/>
      <c r="E7" s="36">
        <v>33</v>
      </c>
      <c r="F7" s="36"/>
      <c r="G7" s="36">
        <v>381</v>
      </c>
      <c r="H7" s="17">
        <f>C7/C6-1</f>
        <v>-0.00193423597678917</v>
      </c>
      <c r="I7" s="17">
        <f>(E7+G7-C7)/C7</f>
        <v>-0.598837209302326</v>
      </c>
      <c r="J7" s="17"/>
      <c r="K7" s="17"/>
      <c r="L7" s="17"/>
    </row>
    <row r="8" ht="20.05" customHeight="1">
      <c r="B8" s="37">
        <v>2016</v>
      </c>
      <c r="C8" s="35">
        <v>1069</v>
      </c>
      <c r="D8" s="27"/>
      <c r="E8" s="36">
        <v>34</v>
      </c>
      <c r="F8" s="36"/>
      <c r="G8" s="36">
        <v>365</v>
      </c>
      <c r="H8" s="17">
        <f>C8/C7-1</f>
        <v>0.0358527131782946</v>
      </c>
      <c r="I8" s="17">
        <f>(E8+G8-C8)/C8</f>
        <v>-0.626753975678204</v>
      </c>
      <c r="J8" s="17"/>
      <c r="K8" s="17"/>
      <c r="L8" s="17"/>
    </row>
    <row r="9" ht="20.05" customHeight="1">
      <c r="B9" s="34"/>
      <c r="C9" s="35">
        <v>1271</v>
      </c>
      <c r="D9" s="27"/>
      <c r="E9" s="36">
        <v>34</v>
      </c>
      <c r="F9" s="36"/>
      <c r="G9" s="36">
        <v>475</v>
      </c>
      <c r="H9" s="17">
        <f>C9/C8-1</f>
        <v>0.188961646398503</v>
      </c>
      <c r="I9" s="17">
        <f>(E9+G9-C9)/C9</f>
        <v>-0.599527930763179</v>
      </c>
      <c r="J9" s="17"/>
      <c r="K9" s="17"/>
      <c r="L9" s="17"/>
    </row>
    <row r="10" ht="20.05" customHeight="1">
      <c r="B10" s="34"/>
      <c r="C10" s="35">
        <v>1079</v>
      </c>
      <c r="D10" s="27"/>
      <c r="E10" s="36">
        <v>34</v>
      </c>
      <c r="F10" s="36"/>
      <c r="G10" s="36">
        <v>330</v>
      </c>
      <c r="H10" s="17">
        <f>C10/C9-1</f>
        <v>-0.151062155782848</v>
      </c>
      <c r="I10" s="17">
        <f>(E10+G10-C10)/C10</f>
        <v>-0.662650602409639</v>
      </c>
      <c r="J10" s="17"/>
      <c r="K10" s="17"/>
      <c r="L10" s="17"/>
    </row>
    <row r="11" ht="20.05" customHeight="1">
      <c r="B11" s="34"/>
      <c r="C11" s="35">
        <v>1105</v>
      </c>
      <c r="D11" s="27"/>
      <c r="E11" s="36">
        <v>35</v>
      </c>
      <c r="F11" s="36"/>
      <c r="G11" s="36">
        <v>341</v>
      </c>
      <c r="H11" s="17">
        <f>C11/C10-1</f>
        <v>0.0240963855421687</v>
      </c>
      <c r="I11" s="17">
        <f>(E11+G11-C11)/C11</f>
        <v>-0.65972850678733</v>
      </c>
      <c r="J11" s="17"/>
      <c r="K11" s="17"/>
      <c r="L11" s="17"/>
    </row>
    <row r="12" ht="20.05" customHeight="1">
      <c r="B12" s="37">
        <v>2017</v>
      </c>
      <c r="C12" s="35">
        <v>1005</v>
      </c>
      <c r="D12" s="27"/>
      <c r="E12" s="36">
        <v>35</v>
      </c>
      <c r="F12" s="36"/>
      <c r="G12" s="36">
        <v>303</v>
      </c>
      <c r="H12" s="17">
        <f>C12/C11-1</f>
        <v>-0.0904977375565611</v>
      </c>
      <c r="I12" s="17">
        <f>(E12+G12-C12)/C12</f>
        <v>-0.663681592039801</v>
      </c>
      <c r="J12" s="17">
        <f>AVERAGE(I9:I12)</f>
        <v>-0.646397157999987</v>
      </c>
      <c r="K12" s="17"/>
      <c r="L12" s="17"/>
    </row>
    <row r="13" ht="20.05" customHeight="1">
      <c r="B13" s="34"/>
      <c r="C13" s="35">
        <v>1411</v>
      </c>
      <c r="D13" s="27"/>
      <c r="E13" s="36">
        <v>36</v>
      </c>
      <c r="F13" s="36"/>
      <c r="G13" s="36">
        <v>543</v>
      </c>
      <c r="H13" s="17">
        <f>C13/C12-1</f>
        <v>0.403980099502488</v>
      </c>
      <c r="I13" s="17">
        <f>(E13+G13-C13)/C13</f>
        <v>-0.589652728561304</v>
      </c>
      <c r="J13" s="17">
        <f>AVERAGE(I10:I13)</f>
        <v>-0.643928357449519</v>
      </c>
      <c r="K13" s="17"/>
      <c r="L13" s="17"/>
    </row>
    <row r="14" ht="20.05" customHeight="1">
      <c r="B14" s="34"/>
      <c r="C14" s="35">
        <v>1009</v>
      </c>
      <c r="D14" s="27"/>
      <c r="E14" s="36">
        <v>36</v>
      </c>
      <c r="F14" s="36"/>
      <c r="G14" s="36">
        <v>254</v>
      </c>
      <c r="H14" s="17">
        <f>C14/C13-1</f>
        <v>-0.284904323175053</v>
      </c>
      <c r="I14" s="17">
        <f>(E14+G14-C14)/C14</f>
        <v>-0.712586719524281</v>
      </c>
      <c r="J14" s="17">
        <f>AVERAGE(I11:I14)</f>
        <v>-0.656412386728179</v>
      </c>
      <c r="K14" s="17"/>
      <c r="L14" s="17"/>
    </row>
    <row r="15" ht="20.05" customHeight="1">
      <c r="B15" s="34"/>
      <c r="C15" s="35">
        <v>1029</v>
      </c>
      <c r="D15" s="27"/>
      <c r="E15" s="36">
        <v>43</v>
      </c>
      <c r="F15" s="36"/>
      <c r="G15" s="36">
        <v>218</v>
      </c>
      <c r="H15" s="17">
        <f>C15/C14-1</f>
        <v>0.0198216055500496</v>
      </c>
      <c r="I15" s="17">
        <f>(E15+G15-C15)/C15</f>
        <v>-0.746355685131195</v>
      </c>
      <c r="J15" s="17">
        <f>AVERAGE(I12:I15)</f>
        <v>-0.678069181314145</v>
      </c>
      <c r="K15" s="17"/>
      <c r="L15" s="17"/>
    </row>
    <row r="16" ht="20.05" customHeight="1">
      <c r="B16" s="37">
        <v>2018</v>
      </c>
      <c r="C16" s="35">
        <v>1157</v>
      </c>
      <c r="D16" s="27"/>
      <c r="E16" s="36">
        <v>38</v>
      </c>
      <c r="F16" s="36">
        <v>0</v>
      </c>
      <c r="G16" s="36">
        <v>360</v>
      </c>
      <c r="H16" s="17">
        <f>C16/C15-1</f>
        <v>0.124392614188533</v>
      </c>
      <c r="I16" s="17">
        <f>(E16+G16-C16)/C16</f>
        <v>-0.656006914433881</v>
      </c>
      <c r="J16" s="17">
        <f>AVERAGE(I13:I16)</f>
        <v>-0.676150511912665</v>
      </c>
      <c r="K16" s="17"/>
      <c r="L16" s="17">
        <f>('Cashflow'!D16-'Cashflow'!C16)/'Cashflow'!C16</f>
        <v>-0.7639106583072101</v>
      </c>
    </row>
    <row r="17" ht="20.05" customHeight="1">
      <c r="B17" s="34"/>
      <c r="C17" s="35">
        <v>1430</v>
      </c>
      <c r="D17" s="27"/>
      <c r="E17" s="36">
        <v>45.4</v>
      </c>
      <c r="F17" s="36">
        <v>4.4</v>
      </c>
      <c r="G17" s="36">
        <v>477</v>
      </c>
      <c r="H17" s="17">
        <f>C17/C16-1</f>
        <v>0.235955056179775</v>
      </c>
      <c r="I17" s="17">
        <f>(E17+G17-C17)/C17</f>
        <v>-0.634685314685315</v>
      </c>
      <c r="J17" s="17">
        <f>AVERAGE(I14:I17)</f>
        <v>-0.6874086584436681</v>
      </c>
      <c r="K17" s="17"/>
      <c r="L17" s="17">
        <f>('Cashflow'!D17-'Cashflow'!C17)/'Cashflow'!C17</f>
        <v>-0.904836058482568</v>
      </c>
    </row>
    <row r="18" ht="20.05" customHeight="1">
      <c r="B18" s="34"/>
      <c r="C18" s="35">
        <v>1397</v>
      </c>
      <c r="D18" s="27"/>
      <c r="E18" s="36">
        <v>34.6</v>
      </c>
      <c r="F18" s="36">
        <v>2.1</v>
      </c>
      <c r="G18" s="36">
        <v>352</v>
      </c>
      <c r="H18" s="17">
        <f>C18/C17-1</f>
        <v>-0.0230769230769231</v>
      </c>
      <c r="I18" s="17">
        <f>(E18+G18-C18)/C18</f>
        <v>-0.723264137437366</v>
      </c>
      <c r="J18" s="17">
        <f>AVERAGE(I15:I18)</f>
        <v>-0.690078012921939</v>
      </c>
      <c r="K18" s="17"/>
      <c r="L18" s="17">
        <f>('Cashflow'!D18-'Cashflow'!C18)/'Cashflow'!C18</f>
        <v>-0.502225345514172</v>
      </c>
    </row>
    <row r="19" ht="20.05" customHeight="1">
      <c r="B19" s="34"/>
      <c r="C19" s="35">
        <v>1293</v>
      </c>
      <c r="D19" s="27"/>
      <c r="E19" s="36">
        <v>47</v>
      </c>
      <c r="F19" s="36">
        <v>48.4</v>
      </c>
      <c r="G19" s="36">
        <v>670</v>
      </c>
      <c r="H19" s="17">
        <f>C19/C18-1</f>
        <v>-0.0744452397995705</v>
      </c>
      <c r="I19" s="17">
        <f>(E19+G19-C19)/C19</f>
        <v>-0.445475638051044</v>
      </c>
      <c r="J19" s="17">
        <f>AVERAGE(I16:I19)</f>
        <v>-0.614858001151902</v>
      </c>
      <c r="K19" s="17"/>
      <c r="L19" s="17">
        <f>('Cashflow'!D19-'Cashflow'!C19)/'Cashflow'!C19</f>
        <v>-0.601859678782756</v>
      </c>
    </row>
    <row r="20" ht="20.05" customHeight="1">
      <c r="B20" s="37">
        <v>2019</v>
      </c>
      <c r="C20" s="35">
        <v>1251</v>
      </c>
      <c r="D20" s="27"/>
      <c r="E20" s="36">
        <v>44</v>
      </c>
      <c r="F20" s="36">
        <v>2.3</v>
      </c>
      <c r="G20" s="36">
        <v>394</v>
      </c>
      <c r="H20" s="17">
        <f>C20/C19-1</f>
        <v>-0.0324825986078886</v>
      </c>
      <c r="I20" s="17">
        <f>(E20+G20-C20)/C20</f>
        <v>-0.649880095923261</v>
      </c>
      <c r="J20" s="17">
        <f>AVERAGE(I17:I20)</f>
        <v>-0.613326296524247</v>
      </c>
      <c r="K20" s="17"/>
      <c r="L20" s="17">
        <f>('Cashflow'!D20-'Cashflow'!C20)/'Cashflow'!C20</f>
        <v>-0.698379592491577</v>
      </c>
    </row>
    <row r="21" ht="20.05" customHeight="1">
      <c r="B21" s="34"/>
      <c r="C21" s="35">
        <v>1515</v>
      </c>
      <c r="D21" s="27"/>
      <c r="E21" s="36">
        <v>42.6</v>
      </c>
      <c r="F21" s="36">
        <v>2.2</v>
      </c>
      <c r="G21" s="36">
        <v>365</v>
      </c>
      <c r="H21" s="17">
        <f>C21/C20-1</f>
        <v>0.211031175059952</v>
      </c>
      <c r="I21" s="17">
        <f>(E21+G21-C21)/C21</f>
        <v>-0.730957095709571</v>
      </c>
      <c r="J21" s="17">
        <f>AVERAGE(I18:I21)</f>
        <v>-0.637394241780311</v>
      </c>
      <c r="K21" s="17"/>
      <c r="L21" s="17">
        <f>('Cashflow'!D21-'Cashflow'!C21)/'Cashflow'!C21</f>
        <v>-0.952619110292182</v>
      </c>
    </row>
    <row r="22" ht="20.05" customHeight="1">
      <c r="B22" s="34"/>
      <c r="C22" s="35">
        <v>1379</v>
      </c>
      <c r="D22" s="36">
        <v>1593</v>
      </c>
      <c r="E22" s="36">
        <v>44.4</v>
      </c>
      <c r="F22" s="36">
        <v>1.9</v>
      </c>
      <c r="G22" s="36">
        <v>153</v>
      </c>
      <c r="H22" s="17">
        <f>C22/C21-1</f>
        <v>-0.0897689768976898</v>
      </c>
      <c r="I22" s="17">
        <f>(E22+G22-C22)/C22</f>
        <v>-0.856852791878173</v>
      </c>
      <c r="J22" s="17">
        <f>AVERAGE(I19:I22)</f>
        <v>-0.670791405390512</v>
      </c>
      <c r="K22" s="17"/>
      <c r="L22" s="17">
        <f>('Cashflow'!D22-'Cashflow'!C22)/'Cashflow'!C22</f>
        <v>-0.7059538274605101</v>
      </c>
    </row>
    <row r="23" ht="20.05" customHeight="1">
      <c r="B23" s="34"/>
      <c r="C23" s="35">
        <v>1378</v>
      </c>
      <c r="D23" s="36">
        <v>1422</v>
      </c>
      <c r="E23" s="36">
        <v>46</v>
      </c>
      <c r="F23" s="36">
        <v>47.6</v>
      </c>
      <c r="G23" s="36">
        <v>60</v>
      </c>
      <c r="H23" s="17">
        <f>C23/C22-1</f>
        <v>-0.000725163161711385</v>
      </c>
      <c r="I23" s="17">
        <f>(E23+G23-C23)/C23</f>
        <v>-0.923076923076923</v>
      </c>
      <c r="J23" s="17">
        <f>AVERAGE(I20:I23)</f>
        <v>-0.790191726646982</v>
      </c>
      <c r="K23" s="17"/>
      <c r="L23" s="17">
        <f>('Cashflow'!D23-'Cashflow'!C23)/'Cashflow'!C23</f>
        <v>-0.795514511873351</v>
      </c>
    </row>
    <row r="24" ht="20.05" customHeight="1">
      <c r="B24" s="37">
        <v>2020</v>
      </c>
      <c r="C24" s="35">
        <v>1304</v>
      </c>
      <c r="D24" s="36">
        <v>1376</v>
      </c>
      <c r="E24" s="36">
        <v>45</v>
      </c>
      <c r="F24" s="36">
        <v>1.8</v>
      </c>
      <c r="G24" s="36">
        <v>328</v>
      </c>
      <c r="H24" s="17">
        <f>C24/C23-1</f>
        <v>-0.0537010159651669</v>
      </c>
      <c r="I24" s="17">
        <f>(E24+G24-C24)/C24</f>
        <v>-0.713957055214724</v>
      </c>
      <c r="J24" s="17">
        <f>AVERAGE(I21:I24)</f>
        <v>-0.806210966469848</v>
      </c>
      <c r="K24" s="17"/>
      <c r="L24" s="17">
        <f>('Cashflow'!D24-'Cashflow'!C24)/'Cashflow'!C24</f>
        <v>-0.698809618918271</v>
      </c>
    </row>
    <row r="25" ht="20.05" customHeight="1">
      <c r="B25" s="34"/>
      <c r="C25" s="35">
        <f>2361-C24</f>
        <v>1057</v>
      </c>
      <c r="D25" s="36">
        <v>1288</v>
      </c>
      <c r="E25" s="36">
        <v>44.3</v>
      </c>
      <c r="F25" s="36">
        <v>1.7</v>
      </c>
      <c r="G25" s="36">
        <f>603-G24</f>
        <v>275</v>
      </c>
      <c r="H25" s="17">
        <f>C25/C24-1</f>
        <v>-0.18941717791411</v>
      </c>
      <c r="I25" s="17">
        <f>(E25+G25-C25)/C25</f>
        <v>-0.697918637653737</v>
      </c>
      <c r="J25" s="17">
        <f>AVERAGE(I22:I25)</f>
        <v>-0.797951351955889</v>
      </c>
      <c r="K25" s="17"/>
      <c r="L25" s="17">
        <f>('Cashflow'!D25-'Cashflow'!C25)/'Cashflow'!C25</f>
        <v>-0.650184733904567</v>
      </c>
    </row>
    <row r="26" ht="20.05" customHeight="1">
      <c r="B26" s="34"/>
      <c r="C26" s="35">
        <v>1224</v>
      </c>
      <c r="D26" s="36">
        <v>1337</v>
      </c>
      <c r="E26" s="36">
        <v>44.7</v>
      </c>
      <c r="F26" s="36">
        <v>1.6</v>
      </c>
      <c r="G26" s="36">
        <v>308</v>
      </c>
      <c r="H26" s="17">
        <f>C26/C25-1</f>
        <v>0.157994323557237</v>
      </c>
      <c r="I26" s="17">
        <f>(E26+G26-C26)/C26</f>
        <v>-0.711846405228758</v>
      </c>
      <c r="J26" s="17">
        <f>AVERAGE(I23:I26)</f>
        <v>-0.761699755293536</v>
      </c>
      <c r="K26" s="17"/>
      <c r="L26" s="17">
        <f>('Cashflow'!D26-'Cashflow'!C26)/'Cashflow'!C26</f>
        <v>-0.567315298212308</v>
      </c>
    </row>
    <row r="27" ht="20.05" customHeight="1">
      <c r="B27" s="34"/>
      <c r="C27" s="35">
        <f>5101.11-SUM(C24:C26)</f>
        <v>1516.11</v>
      </c>
      <c r="D27" s="36">
        <v>1310</v>
      </c>
      <c r="E27" s="36">
        <f>184-SUM(E24:E26)</f>
        <v>50</v>
      </c>
      <c r="F27" s="36">
        <v>51.9</v>
      </c>
      <c r="G27" s="36">
        <f>1150-SUM(G24:G26)</f>
        <v>239</v>
      </c>
      <c r="H27" s="17">
        <f>C27/C26-1</f>
        <v>0.238651960784314</v>
      </c>
      <c r="I27" s="17">
        <f>(E27+G27-C27)/C27</f>
        <v>-0.809380585841397</v>
      </c>
      <c r="J27" s="17">
        <f>AVERAGE(I24:I27)</f>
        <v>-0.733275670984654</v>
      </c>
      <c r="K27" s="17"/>
      <c r="L27" s="17">
        <f>('Cashflow'!D27-'Cashflow'!C27)/'Cashflow'!C27</f>
        <v>-0.637233961400564</v>
      </c>
    </row>
    <row r="28" ht="20.05" customHeight="1">
      <c r="B28" s="37">
        <v>2021</v>
      </c>
      <c r="C28" s="35">
        <v>1403.8</v>
      </c>
      <c r="D28" s="36">
        <v>1531.2711</v>
      </c>
      <c r="E28" s="21">
        <v>42.3</v>
      </c>
      <c r="F28" s="21">
        <v>1.6</v>
      </c>
      <c r="G28" s="21">
        <v>349.1</v>
      </c>
      <c r="H28" s="17">
        <f>C28/C27-1</f>
        <v>-0.0740777384226738</v>
      </c>
      <c r="I28" s="17">
        <f>(E28+G28-C28)/C28</f>
        <v>-0.7211853540390371</v>
      </c>
      <c r="J28" s="17">
        <f>AVERAGE(I25:I28)</f>
        <v>-0.735082745690732</v>
      </c>
      <c r="K28" s="17"/>
      <c r="L28" s="17">
        <f>('Cashflow'!D28-'Cashflow'!C28)/'Cashflow'!C28</f>
        <v>-0.622089064415089</v>
      </c>
    </row>
    <row r="29" ht="20.05" customHeight="1">
      <c r="B29" s="34"/>
      <c r="C29" s="35">
        <f>2947.2-C28</f>
        <v>1543.4</v>
      </c>
      <c r="D29" s="36">
        <v>1473.99</v>
      </c>
      <c r="E29" s="21">
        <f>89.1-E28</f>
        <v>46.8</v>
      </c>
      <c r="F29" s="21">
        <f>3.2-F28</f>
        <v>1.6</v>
      </c>
      <c r="G29" s="21">
        <f>747.8-G28</f>
        <v>398.7</v>
      </c>
      <c r="H29" s="17">
        <f>C29/C28-1</f>
        <v>0.0994443652942015</v>
      </c>
      <c r="I29" s="17">
        <f>(E29+G29-C29)/C29</f>
        <v>-0.711351561487625</v>
      </c>
      <c r="J29" s="17">
        <f>AVERAGE(I26:I29)</f>
        <v>-0.7384409766492041</v>
      </c>
      <c r="K29" s="17"/>
      <c r="L29" s="17">
        <f>('Cashflow'!D29-'Cashflow'!C29)/'Cashflow'!C29</f>
        <v>-0.947495473747737</v>
      </c>
    </row>
    <row r="30" ht="20.05" customHeight="1">
      <c r="B30" s="34"/>
      <c r="C30" s="35">
        <f>4390.7-SUM(C28:C29)</f>
        <v>1443.5</v>
      </c>
      <c r="D30" s="36">
        <v>1466.23</v>
      </c>
      <c r="E30" s="21">
        <f>136.2-SUM(E28:E29)</f>
        <v>47.1</v>
      </c>
      <c r="F30" s="21">
        <f>5.2-SUM(F28:F29)</f>
        <v>2</v>
      </c>
      <c r="G30" s="21">
        <f>1087.1-SUM(G28:G29)</f>
        <v>339.3</v>
      </c>
      <c r="H30" s="17">
        <f>C30/C29-1</f>
        <v>-0.06472722560580541</v>
      </c>
      <c r="I30" s="17">
        <f>(E30+G30-C30)/C30</f>
        <v>-0.7323172843782469</v>
      </c>
      <c r="J30" s="17">
        <f>AVERAGE(I27:I30)</f>
        <v>-0.743558696436577</v>
      </c>
      <c r="K30" s="17"/>
      <c r="L30" s="17">
        <f>('Cashflow'!D30-'Cashflow'!C30)/'Cashflow'!C30</f>
        <v>-0.705449770190414</v>
      </c>
    </row>
    <row r="31" ht="20.05" customHeight="1">
      <c r="B31" s="34"/>
      <c r="C31" s="35">
        <f>5930.3-SUM(C28:C30)</f>
        <v>1539.6</v>
      </c>
      <c r="D31" s="36">
        <v>1544.545</v>
      </c>
      <c r="E31" s="21">
        <f>189.3-SUM(E28:E30)</f>
        <v>53.1</v>
      </c>
      <c r="F31" s="21">
        <f>58.8-SUM(F28:F30)</f>
        <v>53.6</v>
      </c>
      <c r="G31" s="21">
        <f>1338-SUM(G28:G30)</f>
        <v>250.9</v>
      </c>
      <c r="H31" s="17">
        <f>C31/C30-1</f>
        <v>0.06657429857984069</v>
      </c>
      <c r="I31" s="17">
        <f>(E31+G31-C31)/C31</f>
        <v>-0.802546115874253</v>
      </c>
      <c r="J31" s="17">
        <f>AVERAGE(I28:I31)</f>
        <v>-0.741850078944791</v>
      </c>
      <c r="K31" s="17">
        <f>J31</f>
        <v>-0.741850078944791</v>
      </c>
      <c r="L31" s="17">
        <f>('Cashflow'!D31-'Cashflow'!C31)/'Cashflow'!C31</f>
        <v>-0.83611092368936</v>
      </c>
    </row>
    <row r="32" ht="20.05" customHeight="1">
      <c r="B32" s="37">
        <v>2022</v>
      </c>
      <c r="C32" s="35"/>
      <c r="D32" s="36">
        <f>'Model'!C6</f>
        <v>1539.6</v>
      </c>
      <c r="E32" s="27"/>
      <c r="F32" s="27"/>
      <c r="G32" s="27"/>
      <c r="H32" s="17"/>
      <c r="I32" s="27"/>
      <c r="J32" s="17"/>
      <c r="K32" s="17">
        <f>'Model'!C7</f>
        <v>-0.741850078944791</v>
      </c>
      <c r="L32" s="17"/>
    </row>
    <row r="33" ht="20.05" customHeight="1">
      <c r="B33" s="34"/>
      <c r="C33" s="35"/>
      <c r="D33" s="36">
        <f>'Model'!D6</f>
        <v>1724.352</v>
      </c>
      <c r="E33" s="27"/>
      <c r="F33" s="27"/>
      <c r="G33" s="27"/>
      <c r="H33" s="17"/>
      <c r="I33" s="17"/>
      <c r="J33" s="17"/>
      <c r="K33" s="17"/>
      <c r="L33" s="17"/>
    </row>
    <row r="34" ht="20.05" customHeight="1">
      <c r="B34" s="34"/>
      <c r="C34" s="35"/>
      <c r="D34" s="36">
        <f>'Model'!E6</f>
        <v>1655.37792</v>
      </c>
      <c r="E34" s="27"/>
      <c r="F34" s="38"/>
      <c r="G34" s="27"/>
      <c r="H34" s="17"/>
      <c r="I34" s="17"/>
      <c r="J34" s="17"/>
      <c r="K34" s="17"/>
      <c r="L34" s="17"/>
    </row>
    <row r="35" ht="20.05" customHeight="1">
      <c r="B35" s="34"/>
      <c r="C35" s="35"/>
      <c r="D35" s="36">
        <f>'Model'!F6</f>
        <v>1771.2543744</v>
      </c>
      <c r="E35" s="27"/>
      <c r="F35" s="38"/>
      <c r="G35" s="27"/>
      <c r="H35" s="17"/>
      <c r="I35" s="17"/>
      <c r="J35" s="17"/>
      <c r="K35" s="17"/>
      <c r="L35" s="17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95312" style="39" customWidth="1"/>
    <col min="2" max="2" width="8.24219" style="39" customWidth="1"/>
    <col min="3" max="4" width="12.5547" style="39" customWidth="1"/>
    <col min="5" max="16" width="11.0781" style="39" customWidth="1"/>
    <col min="17" max="16384" width="16.3516" style="39" customWidth="1"/>
  </cols>
  <sheetData>
    <row r="1" ht="30.4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6">
        <v>1</v>
      </c>
      <c r="C3" t="s" s="6">
        <v>45</v>
      </c>
      <c r="D3" t="s" s="6">
        <v>8</v>
      </c>
      <c r="E3" t="s" s="6">
        <v>46</v>
      </c>
      <c r="F3" t="s" s="6">
        <v>9</v>
      </c>
      <c r="G3" t="s" s="6">
        <v>47</v>
      </c>
      <c r="H3" t="s" s="6">
        <v>11</v>
      </c>
      <c r="I3" t="s" s="6">
        <v>13</v>
      </c>
      <c r="J3" t="s" s="6">
        <v>48</v>
      </c>
      <c r="K3" t="s" s="6">
        <v>49</v>
      </c>
      <c r="L3" t="s" s="6">
        <v>32</v>
      </c>
      <c r="M3" t="s" s="6">
        <v>34</v>
      </c>
      <c r="N3" t="s" s="6">
        <v>28</v>
      </c>
      <c r="O3" t="s" s="6">
        <v>34</v>
      </c>
      <c r="P3" s="40"/>
    </row>
    <row r="4" ht="18.75" customHeight="1">
      <c r="B4" s="30">
        <v>2015</v>
      </c>
      <c r="C4" s="41"/>
      <c r="D4" s="42">
        <v>333</v>
      </c>
      <c r="E4" s="42"/>
      <c r="F4" s="42">
        <v>-25</v>
      </c>
      <c r="G4" s="42"/>
      <c r="H4" s="42"/>
      <c r="I4" s="42"/>
      <c r="J4" s="42">
        <v>-47</v>
      </c>
      <c r="K4" s="42">
        <f>D4+F4</f>
        <v>308</v>
      </c>
      <c r="L4" s="42"/>
      <c r="M4" s="42"/>
      <c r="N4" s="42">
        <f>-(J4)</f>
        <v>47</v>
      </c>
      <c r="O4" s="42"/>
      <c r="P4" s="42">
        <v>1</v>
      </c>
    </row>
    <row r="5" ht="18.75" customHeight="1">
      <c r="B5" s="34"/>
      <c r="C5" s="20"/>
      <c r="D5" s="21">
        <v>356</v>
      </c>
      <c r="E5" s="21"/>
      <c r="F5" s="21">
        <v>-42</v>
      </c>
      <c r="G5" s="21"/>
      <c r="H5" s="21"/>
      <c r="I5" s="21"/>
      <c r="J5" s="21">
        <v>-1047</v>
      </c>
      <c r="K5" s="21">
        <f>D5+F5</f>
        <v>314</v>
      </c>
      <c r="L5" s="21"/>
      <c r="M5" s="21"/>
      <c r="N5" s="21">
        <f>-J5+N4</f>
        <v>1094</v>
      </c>
      <c r="O5" s="21"/>
      <c r="P5" s="21">
        <f>1+P4</f>
        <v>2</v>
      </c>
    </row>
    <row r="6" ht="18.75" customHeight="1">
      <c r="B6" s="34"/>
      <c r="C6" s="20"/>
      <c r="D6" s="21">
        <v>421</v>
      </c>
      <c r="E6" s="21"/>
      <c r="F6" s="21">
        <v>19</v>
      </c>
      <c r="G6" s="21"/>
      <c r="H6" s="21"/>
      <c r="I6" s="21"/>
      <c r="J6" s="21">
        <v>-26</v>
      </c>
      <c r="K6" s="21">
        <f>D6+F6</f>
        <v>440</v>
      </c>
      <c r="L6" s="21"/>
      <c r="M6" s="21"/>
      <c r="N6" s="21">
        <f>-J6+N5</f>
        <v>1120</v>
      </c>
      <c r="O6" s="21"/>
      <c r="P6" s="21">
        <f>1+P5</f>
        <v>3</v>
      </c>
    </row>
    <row r="7" ht="18.75" customHeight="1">
      <c r="B7" s="34"/>
      <c r="C7" s="20"/>
      <c r="D7" s="21">
        <v>397</v>
      </c>
      <c r="E7" s="21"/>
      <c r="F7" s="21">
        <v>-64</v>
      </c>
      <c r="G7" s="21"/>
      <c r="H7" s="21"/>
      <c r="I7" s="21"/>
      <c r="J7" s="21">
        <v>-831</v>
      </c>
      <c r="K7" s="21">
        <f>D7+F7</f>
        <v>333</v>
      </c>
      <c r="L7" s="21"/>
      <c r="M7" s="21"/>
      <c r="N7" s="21">
        <f>-J7+N6</f>
        <v>1951</v>
      </c>
      <c r="O7" s="21"/>
      <c r="P7" s="21">
        <f>1+P6</f>
        <v>4</v>
      </c>
    </row>
    <row r="8" ht="18.75" customHeight="1">
      <c r="B8" s="37">
        <v>2016</v>
      </c>
      <c r="C8" s="20"/>
      <c r="D8" s="21">
        <v>521</v>
      </c>
      <c r="E8" s="21"/>
      <c r="F8" s="21">
        <v>-125</v>
      </c>
      <c r="G8" s="21"/>
      <c r="H8" s="21"/>
      <c r="I8" s="21"/>
      <c r="J8" s="21">
        <v>-26</v>
      </c>
      <c r="K8" s="21">
        <f>D8+F8</f>
        <v>396</v>
      </c>
      <c r="L8" s="21">
        <f>AVERAGE(K5:K8)</f>
        <v>370.75</v>
      </c>
      <c r="M8" s="21"/>
      <c r="N8" s="21">
        <f>-J8+N7</f>
        <v>1977</v>
      </c>
      <c r="O8" s="21"/>
      <c r="P8" s="21">
        <f>1+P7</f>
        <v>5</v>
      </c>
    </row>
    <row r="9" ht="18.75" customHeight="1">
      <c r="B9" s="34"/>
      <c r="C9" s="20"/>
      <c r="D9" s="21">
        <v>194</v>
      </c>
      <c r="E9" s="21"/>
      <c r="F9" s="21">
        <v>-36</v>
      </c>
      <c r="G9" s="21"/>
      <c r="H9" s="21"/>
      <c r="I9" s="21"/>
      <c r="J9" s="21">
        <v>-428</v>
      </c>
      <c r="K9" s="21">
        <f>D9+F9</f>
        <v>158</v>
      </c>
      <c r="L9" s="21">
        <f>AVERAGE(K6:K9)</f>
        <v>331.75</v>
      </c>
      <c r="M9" s="21"/>
      <c r="N9" s="21">
        <f>-J9+N8</f>
        <v>2405</v>
      </c>
      <c r="O9" s="21"/>
      <c r="P9" s="21">
        <f>1+P8</f>
        <v>6</v>
      </c>
    </row>
    <row r="10" ht="18.75" customHeight="1">
      <c r="B10" s="34"/>
      <c r="C10" s="20"/>
      <c r="D10" s="21">
        <v>370</v>
      </c>
      <c r="E10" s="21"/>
      <c r="F10" s="21">
        <v>-50</v>
      </c>
      <c r="G10" s="21"/>
      <c r="H10" s="21"/>
      <c r="I10" s="21"/>
      <c r="J10" s="21">
        <v>-56</v>
      </c>
      <c r="K10" s="21">
        <f>D10+F10</f>
        <v>320</v>
      </c>
      <c r="L10" s="21">
        <f>AVERAGE(K7:K10)</f>
        <v>301.75</v>
      </c>
      <c r="M10" s="21"/>
      <c r="N10" s="21">
        <f>-J10+N9</f>
        <v>2461</v>
      </c>
      <c r="O10" s="21"/>
      <c r="P10" s="21">
        <f>1+P9</f>
        <v>7</v>
      </c>
    </row>
    <row r="11" ht="18.75" customHeight="1">
      <c r="B11" s="34"/>
      <c r="C11" s="20"/>
      <c r="D11" s="21">
        <v>300</v>
      </c>
      <c r="E11" s="21"/>
      <c r="F11" s="21">
        <v>-39</v>
      </c>
      <c r="G11" s="21"/>
      <c r="H11" s="21"/>
      <c r="I11" s="21"/>
      <c r="J11" s="21">
        <v>-858</v>
      </c>
      <c r="K11" s="21">
        <f>D11+F11</f>
        <v>261</v>
      </c>
      <c r="L11" s="21">
        <f>AVERAGE(K8:K11)</f>
        <v>283.75</v>
      </c>
      <c r="M11" s="21"/>
      <c r="N11" s="21">
        <f>-J11+N10</f>
        <v>3319</v>
      </c>
      <c r="O11" s="21"/>
      <c r="P11" s="21">
        <f>1+P10</f>
        <v>8</v>
      </c>
    </row>
    <row r="12" ht="18.75" customHeight="1">
      <c r="B12" s="37">
        <v>2017</v>
      </c>
      <c r="C12" s="20">
        <v>959.8</v>
      </c>
      <c r="D12" s="21">
        <v>290</v>
      </c>
      <c r="E12" s="21"/>
      <c r="F12" s="21">
        <v>-405</v>
      </c>
      <c r="G12" s="21"/>
      <c r="H12" s="21"/>
      <c r="I12" s="21"/>
      <c r="J12" s="21">
        <v>-55</v>
      </c>
      <c r="K12" s="21">
        <f>D12+F12</f>
        <v>-115</v>
      </c>
      <c r="L12" s="21">
        <f>AVERAGE(K9:K12)</f>
        <v>156</v>
      </c>
      <c r="M12" s="21"/>
      <c r="N12" s="21">
        <f>-J12+N11</f>
        <v>3374</v>
      </c>
      <c r="O12" s="21"/>
      <c r="P12" s="21">
        <f>1+P11</f>
        <v>9</v>
      </c>
    </row>
    <row r="13" ht="18.75" customHeight="1">
      <c r="B13" s="34"/>
      <c r="C13" s="20">
        <v>1079.9</v>
      </c>
      <c r="D13" s="21">
        <v>200</v>
      </c>
      <c r="E13" s="21"/>
      <c r="F13" s="21">
        <v>-55</v>
      </c>
      <c r="G13" s="21"/>
      <c r="H13" s="21"/>
      <c r="I13" s="21"/>
      <c r="J13" s="21">
        <v>-262</v>
      </c>
      <c r="K13" s="21">
        <f>D13+F13</f>
        <v>145</v>
      </c>
      <c r="L13" s="21">
        <f>AVERAGE(K10:K13)</f>
        <v>152.75</v>
      </c>
      <c r="M13" s="21"/>
      <c r="N13" s="21">
        <f>-J13+N12</f>
        <v>3636</v>
      </c>
      <c r="O13" s="21"/>
      <c r="P13" s="21">
        <f>1+P12</f>
        <v>10</v>
      </c>
    </row>
    <row r="14" ht="18.75" customHeight="1">
      <c r="B14" s="34"/>
      <c r="C14" s="20">
        <v>1252.1</v>
      </c>
      <c r="D14" s="21">
        <v>382</v>
      </c>
      <c r="E14" s="21"/>
      <c r="F14" s="21">
        <v>-31</v>
      </c>
      <c r="G14" s="21"/>
      <c r="H14" s="21"/>
      <c r="I14" s="21"/>
      <c r="J14" s="21">
        <v>-53</v>
      </c>
      <c r="K14" s="21">
        <f>D14+F14</f>
        <v>351</v>
      </c>
      <c r="L14" s="21">
        <f>AVERAGE(K11:K14)</f>
        <v>160.5</v>
      </c>
      <c r="M14" s="21"/>
      <c r="N14" s="21">
        <f>-J14+N13</f>
        <v>3689</v>
      </c>
      <c r="O14" s="21"/>
      <c r="P14" s="21">
        <f>1+P13</f>
        <v>11</v>
      </c>
    </row>
    <row r="15" ht="18.75" customHeight="1">
      <c r="B15" s="34"/>
      <c r="C15" s="20">
        <v>1123.5</v>
      </c>
      <c r="D15" s="21">
        <v>377</v>
      </c>
      <c r="E15" s="21"/>
      <c r="F15" s="21">
        <v>-35</v>
      </c>
      <c r="G15" s="21"/>
      <c r="H15" s="21"/>
      <c r="I15" s="21"/>
      <c r="J15" s="21">
        <v>-629</v>
      </c>
      <c r="K15" s="21">
        <f>D15+F15</f>
        <v>342</v>
      </c>
      <c r="L15" s="21">
        <f>AVERAGE(K12:K15)</f>
        <v>180.75</v>
      </c>
      <c r="M15" s="21"/>
      <c r="N15" s="21">
        <f>-J15+N14</f>
        <v>4318</v>
      </c>
      <c r="O15" s="21"/>
      <c r="P15" s="21">
        <f>1+P14</f>
        <v>12</v>
      </c>
    </row>
    <row r="16" ht="18.75" customHeight="1">
      <c r="B16" s="37">
        <v>2018</v>
      </c>
      <c r="C16" s="20">
        <v>1020.8</v>
      </c>
      <c r="D16" s="21">
        <v>241</v>
      </c>
      <c r="E16" s="21"/>
      <c r="F16" s="21">
        <v>-25</v>
      </c>
      <c r="G16" s="21"/>
      <c r="H16" s="21"/>
      <c r="I16" s="21"/>
      <c r="J16" s="21">
        <v>-51</v>
      </c>
      <c r="K16" s="21">
        <f>D16+F16</f>
        <v>216</v>
      </c>
      <c r="L16" s="21">
        <f>AVERAGE(K13:K16)</f>
        <v>263.5</v>
      </c>
      <c r="M16" s="21"/>
      <c r="N16" s="21">
        <f>-J16+N15</f>
        <v>4369</v>
      </c>
      <c r="O16" s="21"/>
      <c r="P16" s="21">
        <f>1+P15</f>
        <v>13</v>
      </c>
    </row>
    <row r="17" ht="18.75" customHeight="1">
      <c r="B17" s="34"/>
      <c r="C17" s="20">
        <v>1155.9</v>
      </c>
      <c r="D17" s="21">
        <v>110</v>
      </c>
      <c r="E17" s="21"/>
      <c r="F17" s="21">
        <v>-124</v>
      </c>
      <c r="G17" s="21"/>
      <c r="H17" s="21"/>
      <c r="I17" s="21"/>
      <c r="J17" s="21">
        <v>187</v>
      </c>
      <c r="K17" s="21">
        <f>D17+F17</f>
        <v>-14</v>
      </c>
      <c r="L17" s="21">
        <f>AVERAGE(K14:K17)</f>
        <v>223.75</v>
      </c>
      <c r="M17" s="21"/>
      <c r="N17" s="21">
        <f>-J17+N16</f>
        <v>4182</v>
      </c>
      <c r="O17" s="21"/>
      <c r="P17" s="21">
        <f>1+P16</f>
        <v>14</v>
      </c>
    </row>
    <row r="18" ht="18.75" customHeight="1">
      <c r="B18" s="34"/>
      <c r="C18" s="20">
        <v>1707.6</v>
      </c>
      <c r="D18" s="21">
        <v>850</v>
      </c>
      <c r="E18" s="21"/>
      <c r="F18" s="21">
        <v>135</v>
      </c>
      <c r="G18" s="21"/>
      <c r="H18" s="21"/>
      <c r="I18" s="21"/>
      <c r="J18" s="21">
        <v>-692</v>
      </c>
      <c r="K18" s="21">
        <f>D18+F18</f>
        <v>985</v>
      </c>
      <c r="L18" s="21">
        <f>AVERAGE(K15:K18)</f>
        <v>382.25</v>
      </c>
      <c r="M18" s="21"/>
      <c r="N18" s="21">
        <f>-J18+N17</f>
        <v>4874</v>
      </c>
      <c r="O18" s="21"/>
      <c r="P18" s="21">
        <f>1+P17</f>
        <v>15</v>
      </c>
    </row>
    <row r="19" ht="18.75" customHeight="1">
      <c r="B19" s="34"/>
      <c r="C19" s="20">
        <v>1183</v>
      </c>
      <c r="D19" s="21">
        <v>471</v>
      </c>
      <c r="E19" s="21"/>
      <c r="F19" s="21">
        <v>-119</v>
      </c>
      <c r="G19" s="21"/>
      <c r="H19" s="21"/>
      <c r="I19" s="21"/>
      <c r="J19" s="21">
        <v>-299</v>
      </c>
      <c r="K19" s="21">
        <f>D19+F19</f>
        <v>352</v>
      </c>
      <c r="L19" s="21">
        <f>AVERAGE(K16:K19)</f>
        <v>384.75</v>
      </c>
      <c r="M19" s="21"/>
      <c r="N19" s="21">
        <f>-J19+N18</f>
        <v>5173</v>
      </c>
      <c r="O19" s="21"/>
      <c r="P19" s="21">
        <f>1+P18</f>
        <v>16</v>
      </c>
    </row>
    <row r="20" ht="18.75" customHeight="1">
      <c r="B20" s="37">
        <v>2019</v>
      </c>
      <c r="C20" s="20">
        <v>1246.6</v>
      </c>
      <c r="D20" s="21">
        <v>376</v>
      </c>
      <c r="E20" s="21">
        <v>-39.1</v>
      </c>
      <c r="F20" s="21">
        <v>-59</v>
      </c>
      <c r="G20" s="21"/>
      <c r="H20" s="21"/>
      <c r="I20" s="21"/>
      <c r="J20" s="21">
        <v>-30</v>
      </c>
      <c r="K20" s="21">
        <f>D20+F20</f>
        <v>317</v>
      </c>
      <c r="L20" s="21">
        <f>AVERAGE(K17:K20)</f>
        <v>410</v>
      </c>
      <c r="M20" s="21"/>
      <c r="N20" s="21">
        <f>-J20+N19</f>
        <v>5203</v>
      </c>
      <c r="O20" s="21"/>
      <c r="P20" s="21">
        <f>1+P19</f>
        <v>17</v>
      </c>
    </row>
    <row r="21" ht="18.75" customHeight="1">
      <c r="B21" s="34"/>
      <c r="C21" s="20">
        <v>1139.7</v>
      </c>
      <c r="D21" s="21">
        <v>54</v>
      </c>
      <c r="E21" s="21">
        <v>-40.7</v>
      </c>
      <c r="F21" s="21">
        <v>-485</v>
      </c>
      <c r="G21" s="21"/>
      <c r="H21" s="21"/>
      <c r="I21" s="21"/>
      <c r="J21" s="21">
        <v>-115</v>
      </c>
      <c r="K21" s="21">
        <f>D21+F21</f>
        <v>-431</v>
      </c>
      <c r="L21" s="21">
        <f>AVERAGE(K18:K21)</f>
        <v>305.75</v>
      </c>
      <c r="M21" s="21"/>
      <c r="N21" s="21">
        <f>-J21+N20</f>
        <v>5318</v>
      </c>
      <c r="O21" s="21"/>
      <c r="P21" s="21">
        <f>1+P20</f>
        <v>18</v>
      </c>
    </row>
    <row r="22" ht="18.75" customHeight="1">
      <c r="B22" s="34"/>
      <c r="C22" s="20">
        <v>1646</v>
      </c>
      <c r="D22" s="21">
        <v>484</v>
      </c>
      <c r="E22" s="21">
        <v>-475.8</v>
      </c>
      <c r="F22" s="21">
        <v>-470</v>
      </c>
      <c r="G22" s="21"/>
      <c r="H22" s="21"/>
      <c r="I22" s="21"/>
      <c r="J22" s="21">
        <v>-20</v>
      </c>
      <c r="K22" s="21">
        <f>D22+F22</f>
        <v>14</v>
      </c>
      <c r="L22" s="21">
        <f>AVERAGE(K19:K22)</f>
        <v>63</v>
      </c>
      <c r="M22" s="21"/>
      <c r="N22" s="21">
        <f>-J22+N21</f>
        <v>5338</v>
      </c>
      <c r="O22" s="21"/>
      <c r="P22" s="21">
        <f>1+P21</f>
        <v>19</v>
      </c>
    </row>
    <row r="23" ht="18.75" customHeight="1">
      <c r="B23" s="34"/>
      <c r="C23" s="20">
        <v>1364.4</v>
      </c>
      <c r="D23" s="21">
        <v>279</v>
      </c>
      <c r="E23" s="21">
        <v>-55.3</v>
      </c>
      <c r="F23" s="21">
        <v>-88</v>
      </c>
      <c r="G23" s="21"/>
      <c r="H23" s="21"/>
      <c r="I23" s="21"/>
      <c r="J23" s="21">
        <v>-376</v>
      </c>
      <c r="K23" s="21">
        <f>D23+F23</f>
        <v>191</v>
      </c>
      <c r="L23" s="21">
        <f>AVERAGE(K20:K23)</f>
        <v>22.75</v>
      </c>
      <c r="M23" s="21"/>
      <c r="N23" s="21">
        <f>-J23+N22</f>
        <v>5714</v>
      </c>
      <c r="O23" s="21"/>
      <c r="P23" s="21">
        <f>1+P22</f>
        <v>20</v>
      </c>
    </row>
    <row r="24" ht="18.75" customHeight="1">
      <c r="B24" s="37">
        <v>2020</v>
      </c>
      <c r="C24" s="20">
        <v>1251.7</v>
      </c>
      <c r="D24" s="21">
        <v>377</v>
      </c>
      <c r="E24" s="21">
        <v>-33.8</v>
      </c>
      <c r="F24" s="21">
        <v>-43</v>
      </c>
      <c r="G24" s="21"/>
      <c r="H24" s="21"/>
      <c r="I24" s="21"/>
      <c r="J24" s="21">
        <v>-29</v>
      </c>
      <c r="K24" s="21">
        <f>D24+F24</f>
        <v>334</v>
      </c>
      <c r="L24" s="21">
        <f>AVERAGE(K21:K24)</f>
        <v>27</v>
      </c>
      <c r="M24" s="21"/>
      <c r="N24" s="21">
        <f>-J24+N23</f>
        <v>5743</v>
      </c>
      <c r="O24" s="21"/>
      <c r="P24" s="21">
        <f>1+P23</f>
        <v>21</v>
      </c>
    </row>
    <row r="25" ht="18.75" customHeight="1">
      <c r="B25" s="34"/>
      <c r="C25" s="20">
        <v>1272.1</v>
      </c>
      <c r="D25" s="21">
        <v>445</v>
      </c>
      <c r="E25" s="21">
        <v>-19.2</v>
      </c>
      <c r="F25" s="21">
        <v>-166</v>
      </c>
      <c r="G25" s="21"/>
      <c r="H25" s="21"/>
      <c r="I25" s="21"/>
      <c r="J25" s="21">
        <v>-428</v>
      </c>
      <c r="K25" s="21">
        <f>D25+F25</f>
        <v>279</v>
      </c>
      <c r="L25" s="21">
        <f>AVERAGE(K22:K25)</f>
        <v>204.5</v>
      </c>
      <c r="M25" s="21"/>
      <c r="N25" s="21">
        <f>-J25+N24</f>
        <v>6171</v>
      </c>
      <c r="O25" s="21"/>
      <c r="P25" s="21">
        <f>1+P24</f>
        <v>22</v>
      </c>
    </row>
    <row r="26" ht="18.75" customHeight="1">
      <c r="B26" s="34"/>
      <c r="C26" s="20">
        <v>1264.2</v>
      </c>
      <c r="D26" s="21">
        <v>547</v>
      </c>
      <c r="E26" s="21">
        <v>-42.2</v>
      </c>
      <c r="F26" s="21">
        <v>-118</v>
      </c>
      <c r="G26" s="21"/>
      <c r="H26" s="21"/>
      <c r="I26" s="21"/>
      <c r="J26" s="21">
        <v>-353</v>
      </c>
      <c r="K26" s="21">
        <f>D26+F26</f>
        <v>429</v>
      </c>
      <c r="L26" s="21">
        <f>AVERAGE(K23:K26)</f>
        <v>308.25</v>
      </c>
      <c r="M26" s="21"/>
      <c r="N26" s="21">
        <f>-J26+N25</f>
        <v>6524</v>
      </c>
      <c r="O26" s="21"/>
      <c r="P26" s="21">
        <f>1+P25</f>
        <v>23</v>
      </c>
    </row>
    <row r="27" ht="18.75" customHeight="1">
      <c r="B27" s="34"/>
      <c r="C27" s="20">
        <v>1310.9</v>
      </c>
      <c r="D27" s="21">
        <f>1844.55-SUM(D24:D26)</f>
        <v>475.55</v>
      </c>
      <c r="E27" s="21">
        <v>-57.5</v>
      </c>
      <c r="F27" s="21">
        <f>-228.2-SUM(F24:F26)</f>
        <v>98.8</v>
      </c>
      <c r="G27" s="21"/>
      <c r="H27" s="21"/>
      <c r="I27" s="21"/>
      <c r="J27" s="21">
        <f>-1491.73-SUM(J24:J26)</f>
        <v>-681.73</v>
      </c>
      <c r="K27" s="21">
        <f>D27+F27</f>
        <v>574.35</v>
      </c>
      <c r="L27" s="21">
        <f>AVERAGE(K24:K27)</f>
        <v>404.0875</v>
      </c>
      <c r="M27" s="21"/>
      <c r="N27" s="21">
        <f>-(H28+I28)+N26</f>
        <v>6932.2</v>
      </c>
      <c r="O27" s="21"/>
      <c r="P27" s="21">
        <f>1+P26</f>
        <v>24</v>
      </c>
    </row>
    <row r="28" ht="18.75" customHeight="1">
      <c r="B28" s="37">
        <v>2021</v>
      </c>
      <c r="C28" s="20">
        <v>1468.6</v>
      </c>
      <c r="D28" s="21">
        <v>555</v>
      </c>
      <c r="E28" s="21">
        <v>-27.7</v>
      </c>
      <c r="F28" s="21">
        <v>-56.3</v>
      </c>
      <c r="G28" s="21">
        <v>-1</v>
      </c>
      <c r="H28" s="21">
        <v>-399</v>
      </c>
      <c r="I28" s="21">
        <v>-9.199999999999999</v>
      </c>
      <c r="J28" s="21">
        <f>-408.8</f>
        <v>-408.8</v>
      </c>
      <c r="K28" s="21">
        <f>D28+F28</f>
        <v>498.7</v>
      </c>
      <c r="L28" s="21">
        <f>AVERAGE(K25:K28)</f>
        <v>445.2625</v>
      </c>
      <c r="M28" s="21"/>
      <c r="N28" s="21">
        <f>-(H28+I28)+N27</f>
        <v>7340.4</v>
      </c>
      <c r="O28" s="21"/>
      <c r="P28" s="21">
        <f>1+P27</f>
        <v>25</v>
      </c>
    </row>
    <row r="29" ht="18.75" customHeight="1">
      <c r="B29" s="34"/>
      <c r="C29" s="20">
        <f>2959.9-C28</f>
        <v>1491.3</v>
      </c>
      <c r="D29" s="21">
        <f>633.3-D28</f>
        <v>78.3</v>
      </c>
      <c r="E29" s="21">
        <v>-29.3</v>
      </c>
      <c r="F29" s="21">
        <f>-38.1-F28</f>
        <v>18.2</v>
      </c>
      <c r="G29" s="21">
        <v>-1</v>
      </c>
      <c r="H29" s="21">
        <f>-549-H28</f>
        <v>-150</v>
      </c>
      <c r="I29" s="21">
        <v>-2</v>
      </c>
      <c r="J29" s="21">
        <f>-562.1-J28</f>
        <v>-153.3</v>
      </c>
      <c r="K29" s="21">
        <f>D29+F29</f>
        <v>96.5</v>
      </c>
      <c r="L29" s="21">
        <f>AVERAGE(K26:K29)</f>
        <v>399.6375</v>
      </c>
      <c r="M29" s="21"/>
      <c r="N29" s="21">
        <f>-(H29+I29)+N28</f>
        <v>7492.4</v>
      </c>
      <c r="O29" s="21"/>
      <c r="P29" s="21">
        <f>1+P28</f>
        <v>26</v>
      </c>
    </row>
    <row r="30" ht="18.75" customHeight="1">
      <c r="B30" s="34"/>
      <c r="C30" s="20">
        <f>4482.9-SUM(C28:C29)</f>
        <v>1523</v>
      </c>
      <c r="D30" s="21">
        <f>1081.9-SUM(D28:D29)</f>
        <v>448.6</v>
      </c>
      <c r="E30" s="21">
        <f>-112.2-SUM(E28:E29)</f>
        <v>-55.2</v>
      </c>
      <c r="F30" s="21">
        <f>-87.8-SUM(F28:F29)</f>
        <v>-49.7</v>
      </c>
      <c r="G30" s="21">
        <v>-1</v>
      </c>
      <c r="H30" s="21">
        <f>-912-H29-H28</f>
        <v>-363</v>
      </c>
      <c r="I30" s="21">
        <v>-6</v>
      </c>
      <c r="J30" s="21">
        <f>-932.6-SUM(J28:J29)</f>
        <v>-370.5</v>
      </c>
      <c r="K30" s="21">
        <f>D30+F30</f>
        <v>398.9</v>
      </c>
      <c r="L30" s="21">
        <f>AVERAGE(K27:K30)</f>
        <v>392.1125</v>
      </c>
      <c r="M30" s="21"/>
      <c r="N30" s="21">
        <f>-(H30+I30)+N29</f>
        <v>7861.4</v>
      </c>
      <c r="O30" s="21"/>
      <c r="P30" s="21">
        <f>1+P29</f>
        <v>27</v>
      </c>
    </row>
    <row r="31" ht="18.75" customHeight="1">
      <c r="B31" s="34"/>
      <c r="C31" s="20">
        <f>5965-SUM(C28:C30)</f>
        <v>1482.1</v>
      </c>
      <c r="D31" s="21">
        <f>1324.8-SUM(D28:D30)</f>
        <v>242.9</v>
      </c>
      <c r="E31" s="21">
        <f>-212.7-SUM(E28:E30)</f>
        <v>-100.5</v>
      </c>
      <c r="F31" s="21">
        <f>-255.7-SUM(F28:F30)</f>
        <v>-167.9</v>
      </c>
      <c r="G31" s="21">
        <f>-3.5-0.7-SUM(G28:G30)</f>
        <v>-1.2</v>
      </c>
      <c r="H31" s="21">
        <f>J31-I31-G31</f>
        <v>201.4</v>
      </c>
      <c r="I31" s="21">
        <f>-47.1+2214.4-2.1-SUM(I28:I30)</f>
        <v>2182.4</v>
      </c>
      <c r="J31" s="21">
        <f>1450-SUM(J28:J30)</f>
        <v>2382.6</v>
      </c>
      <c r="K31" s="21">
        <f>D31+F31</f>
        <v>75</v>
      </c>
      <c r="L31" s="21">
        <f>AVERAGE(K28:K31)</f>
        <v>267.275</v>
      </c>
      <c r="M31" s="21">
        <f>L31</f>
        <v>267.275</v>
      </c>
      <c r="N31" s="21">
        <f>-(H31+I31)+N30</f>
        <v>5477.6</v>
      </c>
      <c r="O31" s="21">
        <f>N31</f>
        <v>5477.6</v>
      </c>
      <c r="P31" s="21">
        <f>1+P30</f>
        <v>28</v>
      </c>
    </row>
    <row r="32" ht="18.75" customHeight="1">
      <c r="B32" s="37">
        <v>2022</v>
      </c>
      <c r="C32" s="20"/>
      <c r="D32" s="21"/>
      <c r="E32" s="21"/>
      <c r="F32" s="21"/>
      <c r="G32" s="21"/>
      <c r="H32" s="21"/>
      <c r="I32" s="21"/>
      <c r="J32" s="21"/>
      <c r="K32" s="21"/>
      <c r="L32" s="27"/>
      <c r="M32" s="21">
        <f>SUM('Model'!F9:F10)</f>
        <v>404.074176920050</v>
      </c>
      <c r="N32" s="27"/>
      <c r="O32" s="21">
        <f>'Model'!F32</f>
        <v>6992.073807412580</v>
      </c>
      <c r="P32" s="21"/>
    </row>
  </sheetData>
  <mergeCells count="1">
    <mergeCell ref="B2:P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09375" style="43" customWidth="1"/>
    <col min="2" max="2" width="11.4219" style="43" customWidth="1"/>
    <col min="3" max="5" width="10.5078" style="43" customWidth="1"/>
    <col min="6" max="11" width="11.8281" style="43" customWidth="1"/>
    <col min="12" max="16384" width="16.3516" style="43" customWidth="1"/>
  </cols>
  <sheetData>
    <row r="1" ht="35.6" customHeight="1"/>
    <row r="2" ht="29.2" customHeight="1">
      <c r="B2" t="s" s="2">
        <v>50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51</v>
      </c>
      <c r="D3" t="s" s="6">
        <v>52</v>
      </c>
      <c r="E3" t="s" s="6">
        <v>53</v>
      </c>
      <c r="F3" t="s" s="6">
        <v>23</v>
      </c>
      <c r="G3" t="s" s="6">
        <v>11</v>
      </c>
      <c r="H3" t="s" s="6">
        <v>13</v>
      </c>
      <c r="I3" t="s" s="6">
        <v>25</v>
      </c>
      <c r="J3" t="s" s="6">
        <v>26</v>
      </c>
      <c r="K3" t="s" s="6">
        <v>34</v>
      </c>
    </row>
    <row r="4" ht="21.1" customHeight="1">
      <c r="B4" s="30">
        <v>2015</v>
      </c>
      <c r="C4" s="41">
        <v>1512</v>
      </c>
      <c r="D4" s="42">
        <v>5043</v>
      </c>
      <c r="E4" s="42">
        <f>D4-C4</f>
        <v>3531</v>
      </c>
      <c r="F4" s="42"/>
      <c r="G4" s="42">
        <v>1244</v>
      </c>
      <c r="H4" s="42">
        <v>3799</v>
      </c>
      <c r="I4" s="42">
        <f>G4+H4-C4-E4</f>
        <v>0</v>
      </c>
      <c r="J4" s="42">
        <f>C4-G4</f>
        <v>268</v>
      </c>
      <c r="K4" s="42"/>
    </row>
    <row r="5" ht="21.1" customHeight="1">
      <c r="B5" s="34"/>
      <c r="C5" s="20">
        <v>775</v>
      </c>
      <c r="D5" s="21">
        <v>4450</v>
      </c>
      <c r="E5" s="21">
        <f>D5-C5</f>
        <v>3675</v>
      </c>
      <c r="F5" s="21"/>
      <c r="G5" s="21">
        <v>1199</v>
      </c>
      <c r="H5" s="21">
        <v>3251</v>
      </c>
      <c r="I5" s="21">
        <f>G5+H5-C5-E5</f>
        <v>0</v>
      </c>
      <c r="J5" s="21">
        <f>C5-G5</f>
        <v>-424</v>
      </c>
      <c r="K5" s="21"/>
    </row>
    <row r="6" ht="21.1" customHeight="1">
      <c r="B6" s="34"/>
      <c r="C6" s="20">
        <v>1187</v>
      </c>
      <c r="D6" s="21">
        <v>4943</v>
      </c>
      <c r="E6" s="21">
        <f>D6-C6</f>
        <v>3756</v>
      </c>
      <c r="F6" s="21"/>
      <c r="G6" s="21">
        <v>1123</v>
      </c>
      <c r="H6" s="21">
        <v>3821</v>
      </c>
      <c r="I6" s="21">
        <f>G6+H6-C6-E6</f>
        <v>1</v>
      </c>
      <c r="J6" s="21">
        <f>C6-G6</f>
        <v>64</v>
      </c>
      <c r="K6" s="21"/>
    </row>
    <row r="7" ht="21.1" customHeight="1">
      <c r="B7" s="34"/>
      <c r="C7" s="20">
        <v>686</v>
      </c>
      <c r="D7" s="21">
        <v>4565</v>
      </c>
      <c r="E7" s="21">
        <f>D7-C7</f>
        <v>3879</v>
      </c>
      <c r="F7" s="21"/>
      <c r="G7" s="21">
        <v>1152</v>
      </c>
      <c r="H7" s="21">
        <v>3414</v>
      </c>
      <c r="I7" s="21">
        <f>G7+H7-C7-E7</f>
        <v>1</v>
      </c>
      <c r="J7" s="21">
        <f>C7-G7</f>
        <v>-466</v>
      </c>
      <c r="K7" s="21"/>
    </row>
    <row r="8" ht="21.1" customHeight="1">
      <c r="B8" s="37">
        <v>2016</v>
      </c>
      <c r="C8" s="20">
        <v>1052</v>
      </c>
      <c r="D8" s="21">
        <v>4980</v>
      </c>
      <c r="E8" s="21">
        <f>D8-C8</f>
        <v>3928</v>
      </c>
      <c r="F8" s="21"/>
      <c r="G8" s="21">
        <v>1202</v>
      </c>
      <c r="H8" s="21">
        <v>3778</v>
      </c>
      <c r="I8" s="21">
        <f>G8+H8-C8-E8</f>
        <v>0</v>
      </c>
      <c r="J8" s="21">
        <f>C8-G8</f>
        <v>-150</v>
      </c>
      <c r="K8" s="21"/>
    </row>
    <row r="9" ht="20.9" customHeight="1">
      <c r="B9" s="34"/>
      <c r="C9" s="20">
        <v>781</v>
      </c>
      <c r="D9" s="21">
        <v>4998</v>
      </c>
      <c r="E9" s="21">
        <f>D9-C9</f>
        <v>4217</v>
      </c>
      <c r="F9" s="21"/>
      <c r="G9" s="21">
        <v>1152</v>
      </c>
      <c r="H9" s="21">
        <v>3847</v>
      </c>
      <c r="I9" s="21">
        <f>G9+H9-C9-E9</f>
        <v>1</v>
      </c>
      <c r="J9" s="21">
        <f>C9-G9</f>
        <v>-371</v>
      </c>
      <c r="K9" s="21"/>
    </row>
    <row r="10" ht="20.9" customHeight="1">
      <c r="B10" s="34"/>
      <c r="C10" s="20">
        <v>1048</v>
      </c>
      <c r="D10" s="21">
        <v>5335</v>
      </c>
      <c r="E10" s="21">
        <f>D10-C10</f>
        <v>4287</v>
      </c>
      <c r="F10" s="21"/>
      <c r="G10" s="21">
        <v>1157</v>
      </c>
      <c r="H10" s="21">
        <v>4177</v>
      </c>
      <c r="I10" s="21">
        <f>G10+H10-C10-E10</f>
        <v>-1</v>
      </c>
      <c r="J10" s="21">
        <f>C10-G10</f>
        <v>-109</v>
      </c>
      <c r="K10" s="21"/>
    </row>
    <row r="11" ht="20.9" customHeight="1">
      <c r="B11" s="34"/>
      <c r="C11" s="20">
        <v>455</v>
      </c>
      <c r="D11" s="21">
        <v>4820</v>
      </c>
      <c r="E11" s="21">
        <f>D11-C11</f>
        <v>4365</v>
      </c>
      <c r="F11" s="21"/>
      <c r="G11" s="21">
        <v>1115</v>
      </c>
      <c r="H11" s="21">
        <v>3705</v>
      </c>
      <c r="I11" s="21">
        <f>G11+H11-C11-E11</f>
        <v>0</v>
      </c>
      <c r="J11" s="21">
        <f>C11-G11</f>
        <v>-660</v>
      </c>
      <c r="K11" s="21"/>
    </row>
    <row r="12" ht="20.9" customHeight="1">
      <c r="B12" s="37">
        <v>2017</v>
      </c>
      <c r="C12" s="20">
        <v>339</v>
      </c>
      <c r="D12" s="21">
        <v>5281</v>
      </c>
      <c r="E12" s="21">
        <f>D12-C12</f>
        <v>4942</v>
      </c>
      <c r="F12" s="21"/>
      <c r="G12" s="21">
        <v>1142</v>
      </c>
      <c r="H12" s="21">
        <v>4139</v>
      </c>
      <c r="I12" s="21">
        <f>G12+H12-C12-E12</f>
        <v>0</v>
      </c>
      <c r="J12" s="21">
        <f>C12-G12</f>
        <v>-803</v>
      </c>
      <c r="K12" s="21"/>
    </row>
    <row r="13" ht="20.9" customHeight="1">
      <c r="B13" s="34"/>
      <c r="C13" s="20">
        <v>223</v>
      </c>
      <c r="D13" s="21">
        <v>5595</v>
      </c>
      <c r="E13" s="21">
        <f>D13-C13</f>
        <v>5372</v>
      </c>
      <c r="F13" s="21"/>
      <c r="G13" s="21">
        <v>1177</v>
      </c>
      <c r="H13" s="21">
        <v>4418</v>
      </c>
      <c r="I13" s="21">
        <f>G13+H13-C13-E13</f>
        <v>0</v>
      </c>
      <c r="J13" s="21">
        <f>C13-G13</f>
        <v>-954</v>
      </c>
      <c r="K13" s="21"/>
    </row>
    <row r="14" ht="20.9" customHeight="1">
      <c r="B14" s="34"/>
      <c r="C14" s="20">
        <v>521</v>
      </c>
      <c r="D14" s="21">
        <v>5648</v>
      </c>
      <c r="E14" s="21">
        <f>D14-C14</f>
        <v>5127</v>
      </c>
      <c r="F14" s="21"/>
      <c r="G14" s="21">
        <v>975</v>
      </c>
      <c r="H14" s="21">
        <v>4672</v>
      </c>
      <c r="I14" s="21">
        <f>G14+H14-C14-E14</f>
        <v>-1</v>
      </c>
      <c r="J14" s="21">
        <f>C14-G14</f>
        <v>-454</v>
      </c>
      <c r="K14" s="21"/>
    </row>
    <row r="15" ht="20.9" customHeight="1">
      <c r="B15" s="34"/>
      <c r="C15" s="20">
        <v>245</v>
      </c>
      <c r="D15" s="21">
        <v>5450</v>
      </c>
      <c r="E15" s="21">
        <f>D15-C15</f>
        <v>5205</v>
      </c>
      <c r="F15" s="21">
        <f>1489+49</f>
        <v>1538</v>
      </c>
      <c r="G15" s="21">
        <v>1014</v>
      </c>
      <c r="H15" s="21">
        <v>4436</v>
      </c>
      <c r="I15" s="21">
        <f>G15+H15-C15-E15</f>
        <v>0</v>
      </c>
      <c r="J15" s="21">
        <f>C15-G15</f>
        <v>-769</v>
      </c>
      <c r="K15" s="21"/>
    </row>
    <row r="16" ht="20.9" customHeight="1">
      <c r="B16" s="37">
        <v>2018</v>
      </c>
      <c r="C16" s="20">
        <v>398</v>
      </c>
      <c r="D16" s="21">
        <v>5805</v>
      </c>
      <c r="E16" s="21">
        <f>D16-C16</f>
        <v>5407</v>
      </c>
      <c r="F16" s="21">
        <f>1521+49</f>
        <v>1570</v>
      </c>
      <c r="G16" s="21">
        <v>1044</v>
      </c>
      <c r="H16" s="21">
        <v>4762</v>
      </c>
      <c r="I16" s="21">
        <f>G16+H16-C16-E16</f>
        <v>1</v>
      </c>
      <c r="J16" s="21">
        <f>C16-G16</f>
        <v>-646</v>
      </c>
      <c r="K16" s="21"/>
    </row>
    <row r="17" ht="20.9" customHeight="1">
      <c r="B17" s="34"/>
      <c r="C17" s="20">
        <v>490</v>
      </c>
      <c r="D17" s="21">
        <v>6191</v>
      </c>
      <c r="E17" s="21">
        <f>D17-C17</f>
        <v>5701</v>
      </c>
      <c r="F17" s="21">
        <f>1555+49</f>
        <v>1604</v>
      </c>
      <c r="G17" s="21">
        <v>1465</v>
      </c>
      <c r="H17" s="21">
        <v>4726</v>
      </c>
      <c r="I17" s="21">
        <f>G17+H17-C17-E17</f>
        <v>0</v>
      </c>
      <c r="J17" s="21">
        <f>C17-G17</f>
        <v>-975</v>
      </c>
      <c r="K17" s="21"/>
    </row>
    <row r="18" ht="20.9" customHeight="1">
      <c r="B18" s="34"/>
      <c r="C18" s="20">
        <v>762</v>
      </c>
      <c r="D18" s="21">
        <v>6188</v>
      </c>
      <c r="E18" s="21">
        <f>D18-C18</f>
        <v>5426</v>
      </c>
      <c r="F18" s="21">
        <f>1590+49</f>
        <v>1639</v>
      </c>
      <c r="G18" s="21">
        <v>1110</v>
      </c>
      <c r="H18" s="21">
        <v>5079</v>
      </c>
      <c r="I18" s="21">
        <f>G18+H18-C18-E18</f>
        <v>1</v>
      </c>
      <c r="J18" s="21">
        <f>C18-G18</f>
        <v>-348</v>
      </c>
      <c r="K18" s="21"/>
    </row>
    <row r="19" ht="20.9" customHeight="1">
      <c r="B19" s="34"/>
      <c r="C19" s="20">
        <v>994</v>
      </c>
      <c r="D19" s="21">
        <v>6589</v>
      </c>
      <c r="E19" s="21">
        <f>D19-C19</f>
        <v>5595</v>
      </c>
      <c r="F19" s="21">
        <f>1628+96</f>
        <v>1724</v>
      </c>
      <c r="G19" s="21">
        <v>1138</v>
      </c>
      <c r="H19" s="21">
        <v>5451</v>
      </c>
      <c r="I19" s="21">
        <f>G19+H19-C19-E19</f>
        <v>0</v>
      </c>
      <c r="J19" s="21">
        <f>C19-G19</f>
        <v>-144</v>
      </c>
      <c r="K19" s="21"/>
    </row>
    <row r="20" ht="20.9" customHeight="1">
      <c r="B20" s="37">
        <v>2019</v>
      </c>
      <c r="C20" s="20">
        <v>1119</v>
      </c>
      <c r="D20" s="21">
        <v>6565</v>
      </c>
      <c r="E20" s="21">
        <f>D20-C20</f>
        <v>5446</v>
      </c>
      <c r="F20" s="21">
        <f>1789.4</f>
        <v>1789.4</v>
      </c>
      <c r="G20" s="21">
        <v>1105</v>
      </c>
      <c r="H20" s="21">
        <v>5460</v>
      </c>
      <c r="I20" s="21">
        <f>G20+H20-C20-E20</f>
        <v>0</v>
      </c>
      <c r="J20" s="21">
        <f>C20-G20</f>
        <v>14</v>
      </c>
      <c r="K20" s="21"/>
    </row>
    <row r="21" ht="20.9" customHeight="1">
      <c r="B21" s="34"/>
      <c r="C21" s="20">
        <v>733</v>
      </c>
      <c r="D21" s="21">
        <v>6902</v>
      </c>
      <c r="E21" s="21">
        <f>D21-C21</f>
        <v>6169</v>
      </c>
      <c r="F21" s="21">
        <f>1723+96</f>
        <v>1819</v>
      </c>
      <c r="G21" s="21">
        <v>1282</v>
      </c>
      <c r="H21" s="21">
        <v>5619</v>
      </c>
      <c r="I21" s="21">
        <f>G21+H21-C21-E21</f>
        <v>-1</v>
      </c>
      <c r="J21" s="21">
        <f>C21-G21</f>
        <v>-549</v>
      </c>
      <c r="K21" s="21"/>
    </row>
    <row r="22" ht="20.9" customHeight="1">
      <c r="B22" s="34"/>
      <c r="C22" s="20">
        <v>726</v>
      </c>
      <c r="D22" s="21">
        <v>7114</v>
      </c>
      <c r="E22" s="21">
        <f>D22-C22</f>
        <v>6388</v>
      </c>
      <c r="F22" s="21">
        <f>1760+97</f>
        <v>1857</v>
      </c>
      <c r="G22" s="21">
        <v>1321</v>
      </c>
      <c r="H22" s="21">
        <v>5793</v>
      </c>
      <c r="I22" s="21">
        <f>G22+H22-C22-E22</f>
        <v>0</v>
      </c>
      <c r="J22" s="21">
        <f>C22-G22</f>
        <v>-595</v>
      </c>
      <c r="K22" s="26"/>
    </row>
    <row r="23" ht="20.9" customHeight="1">
      <c r="B23" s="34"/>
      <c r="C23" s="20">
        <v>545</v>
      </c>
      <c r="D23" s="21">
        <v>6716</v>
      </c>
      <c r="E23" s="21">
        <f>D23-C23</f>
        <v>6171</v>
      </c>
      <c r="F23" s="21">
        <f>1789+143</f>
        <v>1932</v>
      </c>
      <c r="G23" s="21">
        <v>1228</v>
      </c>
      <c r="H23" s="21">
        <v>5488</v>
      </c>
      <c r="I23" s="21">
        <f>G23+H23-C23-E23</f>
        <v>0</v>
      </c>
      <c r="J23" s="21">
        <f>C23-G23</f>
        <v>-683</v>
      </c>
      <c r="K23" s="26"/>
    </row>
    <row r="24" ht="20.9" customHeight="1">
      <c r="B24" s="37">
        <v>2020</v>
      </c>
      <c r="C24" s="20">
        <v>873</v>
      </c>
      <c r="D24" s="21">
        <v>7188</v>
      </c>
      <c r="E24" s="21">
        <f>D24-C24</f>
        <v>6315</v>
      </c>
      <c r="F24" s="21">
        <f>1834+143</f>
        <v>1977</v>
      </c>
      <c r="G24" s="21">
        <v>1400</v>
      </c>
      <c r="H24" s="21">
        <v>5788</v>
      </c>
      <c r="I24" s="21">
        <f>G24+H24-C24-E24</f>
        <v>0</v>
      </c>
      <c r="J24" s="21">
        <f>C24-G24</f>
        <v>-527</v>
      </c>
      <c r="K24" s="26"/>
    </row>
    <row r="25" ht="20.9" customHeight="1">
      <c r="B25" s="34"/>
      <c r="C25" s="20">
        <v>708</v>
      </c>
      <c r="D25" s="21">
        <v>6789</v>
      </c>
      <c r="E25" s="21">
        <f>D25-C25</f>
        <v>6081</v>
      </c>
      <c r="F25" s="21">
        <f>1879+143</f>
        <v>2022</v>
      </c>
      <c r="G25" s="21">
        <v>1155</v>
      </c>
      <c r="H25" s="21">
        <v>5634</v>
      </c>
      <c r="I25" s="21">
        <f>G25+H25-C25-E25</f>
        <v>0</v>
      </c>
      <c r="J25" s="21">
        <f>C25-G25</f>
        <v>-447</v>
      </c>
      <c r="K25" s="26"/>
    </row>
    <row r="26" ht="20.9" customHeight="1">
      <c r="B26" s="34"/>
      <c r="C26" s="20">
        <v>802</v>
      </c>
      <c r="D26" s="21">
        <v>6891</v>
      </c>
      <c r="E26" s="21">
        <f>D26-C26</f>
        <v>6089</v>
      </c>
      <c r="F26" s="21">
        <f>144+1921</f>
        <v>2065</v>
      </c>
      <c r="G26" s="21">
        <v>1319</v>
      </c>
      <c r="H26" s="21">
        <v>5572</v>
      </c>
      <c r="I26" s="21">
        <f>G26+H26-C26-E26</f>
        <v>0</v>
      </c>
      <c r="J26" s="21">
        <f>C26-G26</f>
        <v>-517</v>
      </c>
      <c r="K26" s="21"/>
    </row>
    <row r="27" ht="20.9" customHeight="1">
      <c r="B27" s="34"/>
      <c r="C27" s="25">
        <v>678</v>
      </c>
      <c r="D27" s="21">
        <v>6767</v>
      </c>
      <c r="E27" s="21">
        <f>D27-C27</f>
        <v>6089</v>
      </c>
      <c r="F27" s="21">
        <f>1952+194</f>
        <v>2146</v>
      </c>
      <c r="G27" s="21">
        <v>2870</v>
      </c>
      <c r="H27" s="21">
        <v>3897</v>
      </c>
      <c r="I27" s="21">
        <f>G27+H27-C27-E27</f>
        <v>0</v>
      </c>
      <c r="J27" s="21">
        <f>C27-G27</f>
        <v>-2192</v>
      </c>
      <c r="K27" s="26"/>
    </row>
    <row r="28" ht="20.9" customHeight="1">
      <c r="B28" s="37">
        <v>2021</v>
      </c>
      <c r="C28" s="25">
        <v>770</v>
      </c>
      <c r="D28" s="21">
        <v>6860</v>
      </c>
      <c r="E28" s="21">
        <f>D28-C28</f>
        <v>6090</v>
      </c>
      <c r="F28" s="21">
        <f>13+195+1987</f>
        <v>2195</v>
      </c>
      <c r="G28" s="21">
        <v>2624</v>
      </c>
      <c r="H28" s="21">
        <v>4236</v>
      </c>
      <c r="I28" s="21">
        <f>G28+H28-C28-E28</f>
        <v>0</v>
      </c>
      <c r="J28" s="21">
        <f>C28-G28</f>
        <v>-1854</v>
      </c>
      <c r="K28" s="21"/>
    </row>
    <row r="29" ht="20.9" customHeight="1">
      <c r="B29" s="34"/>
      <c r="C29" s="25">
        <v>737</v>
      </c>
      <c r="D29" s="21">
        <v>6930</v>
      </c>
      <c r="E29" s="21">
        <f>D29-C29</f>
        <v>6193</v>
      </c>
      <c r="F29" s="21">
        <f>16+2048+195</f>
        <v>2259</v>
      </c>
      <c r="G29" s="21">
        <v>2260</v>
      </c>
      <c r="H29" s="21">
        <v>4670</v>
      </c>
      <c r="I29" s="21">
        <f>G29+H29-C29-E29</f>
        <v>0</v>
      </c>
      <c r="J29" s="21">
        <f>C29-G29</f>
        <v>-1523</v>
      </c>
      <c r="K29" s="21"/>
    </row>
    <row r="30" ht="20.9" customHeight="1">
      <c r="B30" s="34"/>
      <c r="C30" s="25">
        <v>765</v>
      </c>
      <c r="D30" s="21">
        <v>6988</v>
      </c>
      <c r="E30" s="21">
        <f>D30-C30</f>
        <v>6223</v>
      </c>
      <c r="F30" s="21">
        <f>2081+195+18</f>
        <v>2294</v>
      </c>
      <c r="G30" s="21">
        <v>1991</v>
      </c>
      <c r="H30" s="21">
        <v>4997</v>
      </c>
      <c r="I30" s="21">
        <f>G30+H30-C30-E30</f>
        <v>0</v>
      </c>
      <c r="J30" s="21">
        <f>C30-G30</f>
        <v>-1226</v>
      </c>
      <c r="K30" s="21">
        <f>J30</f>
        <v>-1226</v>
      </c>
    </row>
    <row r="31" ht="20.9" customHeight="1">
      <c r="B31" s="34"/>
      <c r="C31" s="25">
        <v>3232</v>
      </c>
      <c r="D31" s="21">
        <v>9913</v>
      </c>
      <c r="E31" s="21">
        <f>D31-C31</f>
        <v>6681</v>
      </c>
      <c r="F31" s="21">
        <f>2115+247+21</f>
        <v>2383</v>
      </c>
      <c r="G31" s="21">
        <v>2452</v>
      </c>
      <c r="H31" s="21">
        <v>7461</v>
      </c>
      <c r="I31" s="21">
        <f>G31+H31-C31-E31</f>
        <v>0</v>
      </c>
      <c r="J31" s="21">
        <f>C31-G31</f>
        <v>780</v>
      </c>
      <c r="K31" s="21">
        <f>J31</f>
        <v>780</v>
      </c>
    </row>
    <row r="32" ht="20.9" customHeight="1">
      <c r="B32" s="37">
        <v>2022</v>
      </c>
      <c r="C32" s="25"/>
      <c r="D32" s="21"/>
      <c r="E32" s="21">
        <f>D32-C32</f>
        <v>0</v>
      </c>
      <c r="F32" s="21"/>
      <c r="G32" s="21"/>
      <c r="H32" s="21"/>
      <c r="I32" s="21"/>
      <c r="J32" s="21"/>
      <c r="K32" s="21">
        <f>'Model'!F30</f>
        <v>1217.962142223770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37"/>
  <sheetViews>
    <sheetView workbookViewId="0" showGridLines="0" defaultGridColor="1"/>
  </sheetViews>
  <sheetFormatPr defaultColWidth="8.33333" defaultRowHeight="19.9" customHeight="1" outlineLevelRow="0" outlineLevelCol="0"/>
  <cols>
    <col min="1" max="1" width="9.35156" style="44" customWidth="1"/>
    <col min="2" max="2" width="11.875" style="44" customWidth="1"/>
    <col min="3" max="4" width="9.03125" style="44" customWidth="1"/>
    <col min="5" max="16384" width="8.35156" style="44" customWidth="1"/>
  </cols>
  <sheetData>
    <row r="1" ht="27.65" customHeight="1">
      <c r="A1" t="s" s="2">
        <v>54</v>
      </c>
      <c r="B1" s="2"/>
      <c r="C1" s="2"/>
      <c r="D1" s="2"/>
    </row>
    <row r="2" ht="36.5" customHeight="1">
      <c r="A2" t="s" s="45">
        <v>55</v>
      </c>
      <c r="B2" t="s" s="45">
        <v>54</v>
      </c>
      <c r="C2" t="s" s="45">
        <v>56</v>
      </c>
      <c r="D2" t="s" s="46">
        <v>57</v>
      </c>
    </row>
    <row r="3" ht="20.25" customHeight="1">
      <c r="A3" s="47">
        <v>2014</v>
      </c>
      <c r="B3" s="48">
        <v>640</v>
      </c>
      <c r="C3" s="49"/>
      <c r="D3" s="49"/>
    </row>
    <row r="4" ht="20.05" customHeight="1">
      <c r="A4" s="50"/>
      <c r="B4" s="51">
        <v>717</v>
      </c>
      <c r="C4" s="52"/>
      <c r="D4" s="52"/>
    </row>
    <row r="5" ht="20.05" customHeight="1">
      <c r="A5" s="50"/>
      <c r="B5" s="51">
        <v>765</v>
      </c>
      <c r="C5" s="52"/>
      <c r="D5" s="52"/>
    </row>
    <row r="6" ht="20.05" customHeight="1">
      <c r="A6" s="50"/>
      <c r="B6" s="51">
        <v>700</v>
      </c>
      <c r="C6" s="52"/>
      <c r="D6" s="52"/>
    </row>
    <row r="7" ht="20.05" customHeight="1">
      <c r="A7" s="53">
        <v>2015</v>
      </c>
      <c r="B7" s="51">
        <v>679</v>
      </c>
      <c r="C7" s="52"/>
      <c r="D7" s="52"/>
    </row>
    <row r="8" ht="20.05" customHeight="1">
      <c r="A8" s="50"/>
      <c r="B8" s="51">
        <v>575</v>
      </c>
      <c r="C8" s="52"/>
      <c r="D8" s="52"/>
    </row>
    <row r="9" ht="20.05" customHeight="1">
      <c r="A9" s="50"/>
      <c r="B9" s="51">
        <v>548</v>
      </c>
      <c r="C9" s="52"/>
      <c r="D9" s="52"/>
    </row>
    <row r="10" ht="20.05" customHeight="1">
      <c r="A10" s="50"/>
      <c r="B10" s="51">
        <v>620</v>
      </c>
      <c r="C10" s="52"/>
      <c r="D10" s="52"/>
    </row>
    <row r="11" ht="20.05" customHeight="1">
      <c r="A11" s="53">
        <v>2016</v>
      </c>
      <c r="B11" s="51">
        <v>628</v>
      </c>
      <c r="C11" s="52"/>
      <c r="D11" s="52"/>
    </row>
    <row r="12" ht="20.05" customHeight="1">
      <c r="A12" s="50"/>
      <c r="B12" s="51">
        <v>660</v>
      </c>
      <c r="C12" s="52"/>
      <c r="D12" s="52"/>
    </row>
    <row r="13" ht="20.05" customHeight="1">
      <c r="A13" s="50"/>
      <c r="B13" s="51">
        <v>560</v>
      </c>
      <c r="C13" s="52"/>
      <c r="D13" s="52"/>
    </row>
    <row r="14" ht="20.05" customHeight="1">
      <c r="A14" s="50"/>
      <c r="B14" s="51">
        <v>560</v>
      </c>
      <c r="C14" s="52"/>
      <c r="D14" s="52"/>
    </row>
    <row r="15" ht="20.05" customHeight="1">
      <c r="A15" s="53">
        <v>2017</v>
      </c>
      <c r="B15" s="51">
        <v>540</v>
      </c>
      <c r="C15" s="52"/>
      <c r="D15" s="52"/>
    </row>
    <row r="16" ht="20.05" customHeight="1">
      <c r="A16" s="50"/>
      <c r="B16" s="51">
        <v>518</v>
      </c>
      <c r="C16" s="52"/>
      <c r="D16" s="52"/>
    </row>
    <row r="17" ht="20.05" customHeight="1">
      <c r="A17" s="50"/>
      <c r="B17" s="51">
        <v>438</v>
      </c>
      <c r="C17" s="52"/>
      <c r="D17" s="52"/>
    </row>
    <row r="18" ht="20.05" customHeight="1">
      <c r="A18" s="50"/>
      <c r="B18" s="51">
        <v>496</v>
      </c>
      <c r="C18" s="52"/>
      <c r="D18" s="52"/>
    </row>
    <row r="19" ht="20.05" customHeight="1">
      <c r="A19" s="53">
        <v>2018</v>
      </c>
      <c r="B19" s="51">
        <v>542</v>
      </c>
      <c r="C19" s="52"/>
      <c r="D19" s="52"/>
    </row>
    <row r="20" ht="20.05" customHeight="1">
      <c r="A20" s="50"/>
      <c r="B20" s="51">
        <v>412</v>
      </c>
      <c r="C20" s="52"/>
      <c r="D20" s="52"/>
    </row>
    <row r="21" ht="20.05" customHeight="1">
      <c r="A21" s="50"/>
      <c r="B21" s="51">
        <v>375</v>
      </c>
      <c r="C21" s="52"/>
      <c r="D21" s="52"/>
    </row>
    <row r="22" ht="20.05" customHeight="1">
      <c r="A22" s="50"/>
      <c r="B22" s="51">
        <v>374</v>
      </c>
      <c r="C22" s="52"/>
      <c r="D22" s="52"/>
    </row>
    <row r="23" ht="20.05" customHeight="1">
      <c r="A23" s="53">
        <v>2019</v>
      </c>
      <c r="B23" s="51">
        <v>331</v>
      </c>
      <c r="C23" s="52"/>
      <c r="D23" s="52"/>
    </row>
    <row r="24" ht="20.05" customHeight="1">
      <c r="A24" s="50"/>
      <c r="B24" s="51">
        <v>322</v>
      </c>
      <c r="C24" s="52"/>
      <c r="D24" s="52"/>
    </row>
    <row r="25" ht="20.05" customHeight="1">
      <c r="A25" s="50"/>
      <c r="B25" s="51">
        <v>232</v>
      </c>
      <c r="C25" s="54"/>
      <c r="D25" s="54"/>
    </row>
    <row r="26" ht="20.05" customHeight="1">
      <c r="A26" s="50"/>
      <c r="B26" s="51">
        <v>282</v>
      </c>
      <c r="C26" s="54"/>
      <c r="D26" s="54"/>
    </row>
    <row r="27" ht="20.05" customHeight="1">
      <c r="A27" s="53">
        <v>2020</v>
      </c>
      <c r="B27" s="51">
        <v>155</v>
      </c>
      <c r="C27" s="54"/>
      <c r="D27" s="54"/>
    </row>
    <row r="28" ht="20.05" customHeight="1">
      <c r="A28" s="50"/>
      <c r="B28" s="51">
        <v>233</v>
      </c>
      <c r="C28" s="54"/>
      <c r="D28" s="54"/>
    </row>
    <row r="29" ht="20.05" customHeight="1">
      <c r="A29" s="50"/>
      <c r="B29" s="51">
        <v>243</v>
      </c>
      <c r="C29" s="55"/>
      <c r="D29" s="55"/>
    </row>
    <row r="30" ht="20.05" customHeight="1">
      <c r="A30" s="50"/>
      <c r="B30" s="51">
        <v>458</v>
      </c>
      <c r="C30" s="52"/>
      <c r="D30" s="52"/>
    </row>
    <row r="31" ht="20.05" customHeight="1">
      <c r="A31" s="53">
        <v>2021</v>
      </c>
      <c r="B31" s="51">
        <v>340</v>
      </c>
      <c r="C31" s="52"/>
      <c r="D31" s="52"/>
    </row>
    <row r="32" ht="20.05" customHeight="1">
      <c r="A32" s="50"/>
      <c r="B32" s="51">
        <v>362</v>
      </c>
      <c r="C32" s="52"/>
      <c r="D32" s="52"/>
    </row>
    <row r="33" ht="20.05" customHeight="1">
      <c r="A33" s="50"/>
      <c r="B33" s="51">
        <v>402</v>
      </c>
      <c r="C33" s="52"/>
      <c r="D33" s="52"/>
    </row>
    <row r="34" ht="20.05" customHeight="1">
      <c r="A34" s="50"/>
      <c r="B34" s="51">
        <v>326</v>
      </c>
      <c r="C34" s="52"/>
      <c r="D34" s="52"/>
    </row>
    <row r="35" ht="20.05" customHeight="1">
      <c r="A35" s="53">
        <v>2022</v>
      </c>
      <c r="B35" s="51">
        <v>292</v>
      </c>
      <c r="C35" s="52"/>
      <c r="D35" s="52"/>
    </row>
    <row r="36" ht="20.05" customHeight="1">
      <c r="A36" s="50"/>
      <c r="B36" s="51">
        <v>286</v>
      </c>
      <c r="C36" s="52">
        <f>B36</f>
        <v>286</v>
      </c>
      <c r="D36" s="52">
        <v>762.419688569084</v>
      </c>
    </row>
    <row r="37" ht="20.05" customHeight="1">
      <c r="A37" s="50"/>
      <c r="B37" s="51"/>
      <c r="C37" s="52">
        <f>'Model'!F43</f>
        <v>574.300632167615</v>
      </c>
      <c r="D37" s="54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P3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7" width="11.7031" style="56" customWidth="1"/>
    <col min="8" max="16" width="11.375" style="57" customWidth="1"/>
    <col min="17" max="16384" width="16.3516" style="57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</row>
    <row r="2" ht="20.25" customHeight="1">
      <c r="A2" t="s" s="6">
        <v>1</v>
      </c>
      <c r="B2" t="s" s="6">
        <v>11</v>
      </c>
      <c r="C2" t="s" s="6">
        <v>13</v>
      </c>
      <c r="D2" t="s" s="6">
        <v>59</v>
      </c>
      <c r="E2" t="s" s="6">
        <v>11</v>
      </c>
      <c r="F2" t="s" s="6">
        <v>13</v>
      </c>
      <c r="G2" t="s" s="6">
        <v>59</v>
      </c>
    </row>
    <row r="3" ht="20.25" customHeight="1">
      <c r="A3" s="30">
        <v>2009</v>
      </c>
      <c r="B3" s="41"/>
      <c r="C3" s="42">
        <f>5-248</f>
        <v>-243</v>
      </c>
      <c r="D3" s="42">
        <f>B3+C3</f>
        <v>-243</v>
      </c>
      <c r="E3" s="42">
        <f>B3</f>
        <v>0</v>
      </c>
      <c r="F3" s="42">
        <f>C3</f>
        <v>-243</v>
      </c>
      <c r="G3" s="42">
        <f>D3</f>
        <v>-243</v>
      </c>
    </row>
    <row r="4" ht="20.05" customHeight="1">
      <c r="A4" s="37">
        <v>2010</v>
      </c>
      <c r="B4" s="20">
        <v>0</v>
      </c>
      <c r="C4" s="21">
        <f>3-442</f>
        <v>-439</v>
      </c>
      <c r="D4" s="21">
        <f>B4+C4</f>
        <v>-439</v>
      </c>
      <c r="E4" s="21">
        <f>B4+E3</f>
        <v>0</v>
      </c>
      <c r="F4" s="21">
        <f>C4+F3</f>
        <v>-682</v>
      </c>
      <c r="G4" s="21">
        <f>D4+G3</f>
        <v>-682</v>
      </c>
    </row>
    <row r="5" ht="20.05" customHeight="1">
      <c r="A5" s="37">
        <f>1+$A4</f>
        <v>2011</v>
      </c>
      <c r="B5" s="20">
        <v>0</v>
      </c>
      <c r="C5" s="21">
        <f>3-899</f>
        <v>-896</v>
      </c>
      <c r="D5" s="21">
        <f>B5+C5</f>
        <v>-896</v>
      </c>
      <c r="E5" s="21">
        <f>B5+E4</f>
        <v>0</v>
      </c>
      <c r="F5" s="21">
        <f>C5+F4</f>
        <v>-1578</v>
      </c>
      <c r="G5" s="21">
        <f>D5+G4</f>
        <v>-1578</v>
      </c>
    </row>
    <row r="6" ht="20.05" customHeight="1">
      <c r="A6" s="37">
        <f>1+$A5</f>
        <v>2012</v>
      </c>
      <c r="B6" s="20">
        <v>-529</v>
      </c>
      <c r="C6" s="21">
        <v>-244</v>
      </c>
      <c r="D6" s="21">
        <f>B6+C6</f>
        <v>-773</v>
      </c>
      <c r="E6" s="21">
        <f>B6+E5</f>
        <v>-529</v>
      </c>
      <c r="F6" s="21">
        <f>C6+F5</f>
        <v>-1822</v>
      </c>
      <c r="G6" s="21">
        <f>D6+G5</f>
        <v>-2351</v>
      </c>
    </row>
    <row r="7" ht="20.05" customHeight="1">
      <c r="A7" s="37">
        <f>1+$A6</f>
        <v>2013</v>
      </c>
      <c r="B7" s="20">
        <v>0</v>
      </c>
      <c r="C7" s="21">
        <f>-921-12</f>
        <v>-933</v>
      </c>
      <c r="D7" s="21">
        <f>B7+C7</f>
        <v>-933</v>
      </c>
      <c r="E7" s="21">
        <f>B7+E6</f>
        <v>-529</v>
      </c>
      <c r="F7" s="21">
        <f>C7+F6</f>
        <v>-2755</v>
      </c>
      <c r="G7" s="21">
        <f>D7+G6</f>
        <v>-3284</v>
      </c>
    </row>
    <row r="8" ht="20.05" customHeight="1">
      <c r="A8" s="37">
        <f>1+$A7</f>
        <v>2014</v>
      </c>
      <c r="B8" s="20">
        <v>-56</v>
      </c>
      <c r="C8" s="21">
        <f>-746-9</f>
        <v>-755</v>
      </c>
      <c r="D8" s="21">
        <f>B8+C8</f>
        <v>-811</v>
      </c>
      <c r="E8" s="21">
        <f>B8+E7</f>
        <v>-585</v>
      </c>
      <c r="F8" s="21">
        <f>C8+F7</f>
        <v>-3510</v>
      </c>
      <c r="G8" s="21">
        <f>D8+G7</f>
        <v>-4095</v>
      </c>
    </row>
    <row r="9" ht="20.05" customHeight="1">
      <c r="A9" s="37">
        <f>1+$A8</f>
        <v>2015</v>
      </c>
      <c r="B9" s="20">
        <v>-119</v>
      </c>
      <c r="C9" s="21">
        <f>-1828-2</f>
        <v>-1830</v>
      </c>
      <c r="D9" s="21">
        <f>B9+C9</f>
        <v>-1949</v>
      </c>
      <c r="E9" s="21">
        <f>B9+E8</f>
        <v>-704</v>
      </c>
      <c r="F9" s="21">
        <f>C9+F8</f>
        <v>-5340</v>
      </c>
      <c r="G9" s="21">
        <f>D9+G8</f>
        <v>-6044</v>
      </c>
    </row>
    <row r="10" ht="20.05" customHeight="1">
      <c r="A10" s="37">
        <f>1+$A9</f>
        <v>2016</v>
      </c>
      <c r="B10" s="20">
        <v>-151</v>
      </c>
      <c r="C10" s="21">
        <v>-1217</v>
      </c>
      <c r="D10" s="21">
        <f>B10+C10</f>
        <v>-1368</v>
      </c>
      <c r="E10" s="21">
        <f>B10+E9</f>
        <v>-855</v>
      </c>
      <c r="F10" s="21">
        <f>C10+F9</f>
        <v>-6557</v>
      </c>
      <c r="G10" s="21">
        <f>D10+G9</f>
        <v>-7412</v>
      </c>
    </row>
    <row r="11" ht="20.05" customHeight="1">
      <c r="A11" s="37">
        <f>1+$A10</f>
        <v>2017</v>
      </c>
      <c r="B11" s="20">
        <v>-146</v>
      </c>
      <c r="C11" s="21">
        <v>-851</v>
      </c>
      <c r="D11" s="21">
        <f>B11+C11</f>
        <v>-997</v>
      </c>
      <c r="E11" s="21">
        <f>B11+E10</f>
        <v>-1001</v>
      </c>
      <c r="F11" s="21">
        <f>C11+F10</f>
        <v>-7408</v>
      </c>
      <c r="G11" s="21">
        <f>D11+G10</f>
        <v>-8409</v>
      </c>
    </row>
    <row r="12" ht="20.05" customHeight="1">
      <c r="A12" s="37">
        <f>1+$A11</f>
        <v>2018</v>
      </c>
      <c r="B12" s="20">
        <v>-47</v>
      </c>
      <c r="C12" s="21">
        <v>-804</v>
      </c>
      <c r="D12" s="21">
        <f>B12+C12</f>
        <v>-851</v>
      </c>
      <c r="E12" s="21">
        <f>B12+E11</f>
        <v>-1048</v>
      </c>
      <c r="F12" s="21">
        <f>C12+F11</f>
        <v>-8212</v>
      </c>
      <c r="G12" s="21">
        <f>D12+G11</f>
        <v>-9260</v>
      </c>
    </row>
    <row r="13" ht="20.05" customHeight="1">
      <c r="A13" s="37">
        <f>1+$A12</f>
        <v>2019</v>
      </c>
      <c r="B13" s="20">
        <v>-3</v>
      </c>
      <c r="C13" s="21">
        <f>360-820-74-2</f>
        <v>-536</v>
      </c>
      <c r="D13" s="21">
        <f>B13+C13</f>
        <v>-539</v>
      </c>
      <c r="E13" s="21">
        <f>B13+E12</f>
        <v>-1051</v>
      </c>
      <c r="F13" s="21">
        <f>C13+F12</f>
        <v>-8748</v>
      </c>
      <c r="G13" s="21">
        <f>D13+G12</f>
        <v>-9799</v>
      </c>
    </row>
    <row r="14" ht="20.05" customHeight="1">
      <c r="A14" s="37">
        <f>1+$A13</f>
        <v>2020</v>
      </c>
      <c r="B14" s="20">
        <v>1301</v>
      </c>
      <c r="C14" s="21">
        <v>-2793</v>
      </c>
      <c r="D14" s="21">
        <f>B14+C14</f>
        <v>-1492</v>
      </c>
      <c r="E14" s="21">
        <f>B14+E13</f>
        <v>250</v>
      </c>
      <c r="F14" s="21">
        <f>C14+F13</f>
        <v>-11541</v>
      </c>
      <c r="G14" s="21">
        <f>D14+G13</f>
        <v>-11291</v>
      </c>
    </row>
    <row r="15" ht="20.05" customHeight="1">
      <c r="A15" s="37">
        <f>1+$A14</f>
        <v>2021</v>
      </c>
      <c r="B15" s="20">
        <f>SUM('Cashflow'!H28:H30)</f>
        <v>-912</v>
      </c>
      <c r="C15" s="21">
        <f>SUM('Cashflow'!I28:I30)</f>
        <v>-17.2</v>
      </c>
      <c r="D15" s="21">
        <f>B15+C15</f>
        <v>-929.2</v>
      </c>
      <c r="E15" s="21">
        <f>B15+E14</f>
        <v>-662</v>
      </c>
      <c r="F15" s="21">
        <f>C15+F14</f>
        <v>-11558.2</v>
      </c>
      <c r="G15" s="21">
        <f>D15+G14</f>
        <v>-12220.2</v>
      </c>
    </row>
    <row r="17" ht="27.65" customHeight="1">
      <c r="H17" t="s" s="2">
        <v>60</v>
      </c>
      <c r="I17" s="2"/>
      <c r="J17" s="2"/>
      <c r="K17" s="2"/>
      <c r="L17" s="2"/>
      <c r="M17" s="2"/>
      <c r="N17" s="2"/>
      <c r="O17" s="2"/>
      <c r="P17" s="2"/>
    </row>
    <row r="18" ht="20.25" customHeight="1">
      <c r="H18" s="4"/>
      <c r="I18" s="4"/>
      <c r="J18" s="4"/>
      <c r="K18" s="4"/>
      <c r="L18" s="4"/>
      <c r="M18" s="4"/>
      <c r="N18" s="4"/>
      <c r="O18" s="4"/>
      <c r="P18" s="4"/>
    </row>
    <row r="19" ht="32.25" customHeight="1">
      <c r="H19" s="58"/>
      <c r="I19" t="s" s="59">
        <v>54</v>
      </c>
      <c r="J19" t="s" s="60">
        <v>61</v>
      </c>
      <c r="K19" s="10"/>
      <c r="L19" s="10"/>
      <c r="M19" s="10"/>
      <c r="N19" s="10"/>
      <c r="O19" s="10"/>
      <c r="P19" s="10"/>
    </row>
    <row r="20" ht="20.05" customHeight="1">
      <c r="H20" s="34"/>
      <c r="I20" s="61">
        <v>44621</v>
      </c>
      <c r="J20" s="26">
        <v>9</v>
      </c>
      <c r="K20" s="26">
        <v>2022</v>
      </c>
      <c r="L20" s="27"/>
      <c r="M20" s="27"/>
      <c r="N20" s="27"/>
      <c r="O20" s="27"/>
      <c r="P20" s="27"/>
    </row>
    <row r="21" ht="20.05" customHeight="1">
      <c r="H21" s="34"/>
      <c r="I21" t="s" s="62">
        <v>62</v>
      </c>
      <c r="J21" s="26">
        <f>$A3</f>
        <v>2009</v>
      </c>
      <c r="K21" s="27"/>
      <c r="L21" s="27"/>
      <c r="M21" s="27"/>
      <c r="N21" s="27"/>
      <c r="O21" s="27"/>
      <c r="P21" s="27"/>
    </row>
    <row r="22" ht="32.05" customHeight="1">
      <c r="H22" s="34"/>
      <c r="I22" t="s" s="62">
        <v>63</v>
      </c>
      <c r="J22" s="26">
        <f>(2022-J21)*4</f>
        <v>52</v>
      </c>
      <c r="K22" s="27"/>
      <c r="L22" s="27"/>
      <c r="M22" s="27"/>
      <c r="N22" s="27"/>
      <c r="O22" s="27"/>
      <c r="P22" s="27"/>
    </row>
    <row r="23" ht="20.05" customHeight="1">
      <c r="H23" s="34"/>
      <c r="I23" t="s" s="62">
        <v>11</v>
      </c>
      <c r="J23" s="26">
        <f>O27</f>
        <v>-662</v>
      </c>
      <c r="K23" t="s" s="63">
        <f>O24</f>
        <v>64</v>
      </c>
      <c r="L23" t="s" s="63">
        <f>IF(J23&gt;0,"raised","paid")</f>
        <v>65</v>
      </c>
      <c r="M23" s="27"/>
      <c r="N23" s="27"/>
      <c r="O23" s="27"/>
      <c r="P23" s="27"/>
    </row>
    <row r="24" ht="32.05" customHeight="1">
      <c r="H24" s="34"/>
      <c r="I24" t="s" s="62">
        <f>I19</f>
        <v>54</v>
      </c>
      <c r="J24" t="s" s="63">
        <v>66</v>
      </c>
      <c r="K24" t="s" s="63">
        <f>IF(N24&gt;0,"raised","paid")</f>
        <v>65</v>
      </c>
      <c r="L24" t="s" s="63">
        <v>67</v>
      </c>
      <c r="M24" t="s" s="63">
        <v>68</v>
      </c>
      <c r="N24" s="26">
        <f>AVERAGE(B4:B15)</f>
        <v>-55.1666666666667</v>
      </c>
      <c r="O24" t="s" s="63">
        <v>64</v>
      </c>
      <c r="P24" t="s" s="63">
        <v>69</v>
      </c>
    </row>
    <row r="25" ht="32.05" customHeight="1">
      <c r="H25" s="34"/>
      <c r="I25" t="s" s="62">
        <v>70</v>
      </c>
      <c r="J25" t="s" s="63">
        <f>L24</f>
        <v>67</v>
      </c>
      <c r="K25" t="s" s="63">
        <v>71</v>
      </c>
      <c r="L25" t="s" s="63">
        <f>IF(N25&gt;0,"raised","paid")</f>
        <v>72</v>
      </c>
      <c r="M25" t="s" s="63">
        <v>68</v>
      </c>
      <c r="N25" s="26">
        <f>AVERAGE(B11:B15)</f>
        <v>38.6</v>
      </c>
      <c r="O25" t="s" s="63">
        <f>O24</f>
        <v>64</v>
      </c>
      <c r="P25" t="s" s="63">
        <v>69</v>
      </c>
    </row>
    <row r="26" ht="44.05" customHeight="1">
      <c r="H26" s="34"/>
      <c r="I26" t="s" s="62">
        <v>73</v>
      </c>
      <c r="J26" t="s" s="63">
        <v>74</v>
      </c>
      <c r="K26" s="26">
        <f>MAX(E4:E15)</f>
        <v>250</v>
      </c>
      <c r="L26" t="s" s="63">
        <f>O25</f>
        <v>64</v>
      </c>
      <c r="M26" t="s" s="63">
        <v>75</v>
      </c>
      <c r="N26" s="26">
        <f>$A14</f>
        <v>2020</v>
      </c>
      <c r="O26" s="27"/>
      <c r="P26" s="27"/>
    </row>
    <row r="27" ht="32.05" customHeight="1">
      <c r="H27" s="34"/>
      <c r="I27" t="s" s="62">
        <v>76</v>
      </c>
      <c r="J27" t="s" s="63">
        <f>J25</f>
        <v>67</v>
      </c>
      <c r="K27" t="s" s="63">
        <v>77</v>
      </c>
      <c r="L27" t="s" s="63">
        <v>78</v>
      </c>
      <c r="M27" t="s" s="63">
        <f>IF(O27&lt;K26,"down","up")</f>
        <v>79</v>
      </c>
      <c r="N27" t="s" s="63">
        <v>80</v>
      </c>
      <c r="O27" s="26">
        <f>E15</f>
        <v>-662</v>
      </c>
      <c r="P27" t="s" s="63">
        <f>O25</f>
        <v>64</v>
      </c>
    </row>
    <row r="28" ht="20.05" customHeight="1">
      <c r="H28" s="34"/>
      <c r="I28" t="s" s="62">
        <v>13</v>
      </c>
      <c r="J28" s="26">
        <f>O32</f>
        <v>-11558.2</v>
      </c>
      <c r="K28" t="s" s="63">
        <f>P27</f>
        <v>64</v>
      </c>
      <c r="L28" t="s" s="63">
        <f>IF(J28&gt;0,"raised","paid")</f>
        <v>65</v>
      </c>
      <c r="M28" s="27"/>
      <c r="N28" s="27"/>
      <c r="O28" s="27"/>
      <c r="P28" s="27"/>
    </row>
    <row r="29" ht="32.05" customHeight="1">
      <c r="H29" s="34"/>
      <c r="I29" t="s" s="62">
        <f>I24</f>
        <v>54</v>
      </c>
      <c r="J29" t="s" s="63">
        <v>66</v>
      </c>
      <c r="K29" t="s" s="63">
        <f>IF(N29&gt;0,"raised","paid")</f>
        <v>65</v>
      </c>
      <c r="L29" t="s" s="63">
        <v>81</v>
      </c>
      <c r="M29" t="s" s="63">
        <f>M24</f>
        <v>68</v>
      </c>
      <c r="N29" s="26">
        <f>AVERAGE(C4:C15)</f>
        <v>-942.9333333333331</v>
      </c>
      <c r="O29" t="s" s="63">
        <f>O24</f>
        <v>64</v>
      </c>
      <c r="P29" t="s" s="63">
        <f>P24</f>
        <v>69</v>
      </c>
    </row>
    <row r="30" ht="32.05" customHeight="1">
      <c r="H30" s="34"/>
      <c r="I30" t="s" s="62">
        <v>70</v>
      </c>
      <c r="J30" t="s" s="63">
        <f>L29</f>
        <v>81</v>
      </c>
      <c r="K30" t="s" s="63">
        <v>82</v>
      </c>
      <c r="L30" t="s" s="63">
        <f>IF(N30&gt;0,"raised","paid")</f>
        <v>65</v>
      </c>
      <c r="M30" t="s" s="63">
        <v>68</v>
      </c>
      <c r="N30" s="26">
        <f>AVERAGE(C11:C15)</f>
        <v>-1000.24</v>
      </c>
      <c r="O30" t="s" s="63">
        <f>O29</f>
        <v>64</v>
      </c>
      <c r="P30" t="s" s="63">
        <v>69</v>
      </c>
    </row>
    <row r="31" ht="44.05" customHeight="1">
      <c r="H31" s="34"/>
      <c r="I31" t="s" s="62">
        <v>83</v>
      </c>
      <c r="J31" t="s" s="63">
        <v>74</v>
      </c>
      <c r="K31" s="26">
        <f>MAX(F4:F15)</f>
        <v>-682</v>
      </c>
      <c r="L31" t="s" s="63">
        <f>O30</f>
        <v>64</v>
      </c>
      <c r="M31" t="s" s="63">
        <v>75</v>
      </c>
      <c r="N31" s="26">
        <f>$A3</f>
        <v>2009</v>
      </c>
      <c r="O31" s="27"/>
      <c r="P31" s="27"/>
    </row>
    <row r="32" ht="32.05" customHeight="1">
      <c r="H32" s="34"/>
      <c r="I32" t="s" s="62">
        <v>76</v>
      </c>
      <c r="J32" t="s" s="63">
        <f>J30</f>
        <v>81</v>
      </c>
      <c r="K32" t="s" s="63">
        <v>77</v>
      </c>
      <c r="L32" t="s" s="63">
        <v>84</v>
      </c>
      <c r="M32" t="s" s="63">
        <f>IF(O32&lt;K31,"down","up")</f>
        <v>79</v>
      </c>
      <c r="N32" t="s" s="63">
        <v>80</v>
      </c>
      <c r="O32" s="26">
        <f>F15</f>
        <v>-11558.2</v>
      </c>
      <c r="P32" t="s" s="63">
        <f>O30</f>
        <v>64</v>
      </c>
    </row>
    <row r="33" ht="20.05" customHeight="1">
      <c r="H33" s="34"/>
      <c r="I33" t="s" s="62">
        <v>85</v>
      </c>
      <c r="J33" s="26">
        <f>O37</f>
        <v>-12220.2</v>
      </c>
      <c r="K33" t="s" s="63">
        <f>P32</f>
        <v>64</v>
      </c>
      <c r="L33" t="s" s="63">
        <f>IF(J33&gt;0,"raised","paid")</f>
        <v>65</v>
      </c>
      <c r="M33" s="27"/>
      <c r="N33" s="27"/>
      <c r="O33" s="27"/>
      <c r="P33" s="27"/>
    </row>
    <row r="34" ht="32.05" customHeight="1">
      <c r="H34" s="34"/>
      <c r="I34" t="s" s="62">
        <f>I29</f>
        <v>54</v>
      </c>
      <c r="J34" t="s" s="63">
        <v>66</v>
      </c>
      <c r="K34" t="s" s="63">
        <f>IF(N34&gt;0,"raised","paid")</f>
        <v>65</v>
      </c>
      <c r="L34" t="s" s="63">
        <v>86</v>
      </c>
      <c r="M34" t="s" s="63">
        <f>M29</f>
        <v>68</v>
      </c>
      <c r="N34" s="26">
        <f>AVERAGE(D4:D15)</f>
        <v>-998.1</v>
      </c>
      <c r="O34" t="s" s="63">
        <f>O29</f>
        <v>64</v>
      </c>
      <c r="P34" t="s" s="63">
        <f>P29</f>
        <v>69</v>
      </c>
    </row>
    <row r="35" ht="32.05" customHeight="1">
      <c r="H35" s="34"/>
      <c r="I35" t="s" s="62">
        <v>70</v>
      </c>
      <c r="J35" t="s" s="63">
        <f>L34</f>
        <v>86</v>
      </c>
      <c r="K35" t="s" s="63">
        <v>82</v>
      </c>
      <c r="L35" t="s" s="63">
        <f>IF(N35&gt;0,"raised","paid")</f>
        <v>65</v>
      </c>
      <c r="M35" t="s" s="63">
        <v>68</v>
      </c>
      <c r="N35" s="26">
        <f>AVERAGE(D11:D15)</f>
        <v>-961.64</v>
      </c>
      <c r="O35" t="s" s="63">
        <f>O34</f>
        <v>64</v>
      </c>
      <c r="P35" t="s" s="63">
        <v>69</v>
      </c>
    </row>
    <row r="36" ht="44.05" customHeight="1">
      <c r="H36" s="34"/>
      <c r="I36" t="s" s="62">
        <v>87</v>
      </c>
      <c r="J36" t="s" s="63">
        <v>74</v>
      </c>
      <c r="K36" s="26">
        <f>MAX(G4:G15)</f>
        <v>-682</v>
      </c>
      <c r="L36" t="s" s="63">
        <f>O35</f>
        <v>64</v>
      </c>
      <c r="M36" t="s" s="63">
        <v>75</v>
      </c>
      <c r="N36" s="26">
        <f>$A3</f>
        <v>2009</v>
      </c>
      <c r="O36" s="27"/>
      <c r="P36" s="27"/>
    </row>
    <row r="37" ht="32.05" customHeight="1">
      <c r="H37" s="34"/>
      <c r="I37" t="s" s="62">
        <v>76</v>
      </c>
      <c r="J37" t="s" s="63">
        <f>J35</f>
        <v>86</v>
      </c>
      <c r="K37" t="s" s="63">
        <v>77</v>
      </c>
      <c r="L37" t="s" s="63">
        <v>84</v>
      </c>
      <c r="M37" t="s" s="63">
        <f>IF(O37&lt;K36,"down","up")</f>
        <v>79</v>
      </c>
      <c r="N37" t="s" s="63">
        <v>80</v>
      </c>
      <c r="O37" s="26">
        <f>G15</f>
        <v>-12220.2</v>
      </c>
      <c r="P37" t="s" s="63">
        <f>O35</f>
        <v>64</v>
      </c>
    </row>
  </sheetData>
  <mergeCells count="2">
    <mergeCell ref="A1:G1"/>
    <mergeCell ref="H17:P1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