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<sst xmlns="http://schemas.openxmlformats.org/spreadsheetml/2006/main" uniqueCount="56">
  <si>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</si>
  <si>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</si>
  <si>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2022</t>
  </si>
  <si>
    <t xml:space="preserve">Cashflow 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</si>
  <si>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</si>
  <si>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</si>
  <si>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</si>
  <si>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</si>
  <si>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</si>
  <si>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</si>
  <si>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</si>
  <si>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</si>
  <si>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</si>
  <si>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</si>
  <si>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</si>
  <si>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>Before revolver</t>
  </si>
  <si>
    <t>Beginning</t>
  </si>
  <si>
    <t>Change</t>
  </si>
  <si>
    <t>Ending</t>
  </si>
  <si>
    <t xml:space="preserve">Profit </t>
  </si>
  <si>
    <t>Non cash costs</t>
  </si>
  <si>
    <t xml:space="preserve">Net profit </t>
  </si>
  <si>
    <t>Balance sheet</t>
  </si>
  <si>
    <t>Other assets</t>
  </si>
  <si>
    <t xml:space="preserve">Depreciation </t>
  </si>
  <si>
    <t>Net other assets</t>
  </si>
  <si>
    <t>Revolver</t>
  </si>
  <si>
    <t>Equity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</si>
  <si>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</si>
  <si>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</si>
  <si>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</si>
  <si>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</si>
  <si>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</si>
  <si>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</si>
  <si>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</si>
  <si>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</si>
  <si>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</si>
  <si>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</si>
  <si>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</si>
  <si>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</si>
  <si>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</si>
  <si>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</si>
  <si>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</si>
  <si>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</si>
  <si>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>Sales forecasts</t>
  </si>
  <si>
    <t xml:space="preserve">Sales growth </t>
  </si>
  <si>
    <t>Net profit</t>
  </si>
  <si>
    <t xml:space="preserve">Working capital </t>
  </si>
  <si>
    <t>Finance</t>
  </si>
  <si>
    <t xml:space="preserve">Free cashflow </t>
  </si>
  <si>
    <t>Cash</t>
  </si>
  <si>
    <t>Assets</t>
  </si>
  <si>
    <t xml:space="preserve">Check </t>
  </si>
  <si>
    <t>Share price</t>
  </si>
  <si>
    <t>SBUX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</si>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</sst>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861798</xdr:colOff>
      <xdr:row>2</xdr:row>
      <xdr:rowOff>135165</xdr:rowOff>
    </xdr:from>
    <xdr:to>
      <xdr:col>13</xdr:col>
      <xdr:colOff>919923</xdr:colOff>
      <xdr:row>48</xdr:row>
      <xdr:rowOff>233734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98898" y="1228635"/>
          <a:ext cx="8770326" cy="118168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0703" style="1" customWidth="1"/>
    <col min="2" max="2" width="14.7656" style="1" customWidth="1"/>
    <col min="3" max="6" width="8.90625" style="1" customWidth="1"/>
    <col min="7" max="16384" width="16.3516" style="1" customWidth="1"/>
  </cols>
  <sheetData>
    <row r="1" ht="58.4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AVERAGE('Sales'!E29:E32)</f>
        <v>0.0369229219000892</v>
      </c>
      <c r="D4" s="8"/>
      <c r="E4" s="8"/>
      <c r="F4" s="9">
        <f>AVERAGE(C5:F5)</f>
        <v>0.02</v>
      </c>
    </row>
    <row r="5" ht="20.05" customHeight="1">
      <c r="B5" t="s" s="10">
        <v>4</v>
      </c>
      <c r="C5" s="11">
        <v>0.03</v>
      </c>
      <c r="D5" s="12">
        <v>0.03</v>
      </c>
      <c r="E5" s="12">
        <v>0.03</v>
      </c>
      <c r="F5" s="12">
        <v>-0.01</v>
      </c>
    </row>
    <row r="6" ht="20.05" customHeight="1">
      <c r="B6" t="s" s="10">
        <v>5</v>
      </c>
      <c r="C6" s="13">
        <f>'Sales'!C32*(1+C5)</f>
        <v>7865.08</v>
      </c>
      <c r="D6" s="14">
        <f>C6*(1+D5)</f>
        <v>8101.0324</v>
      </c>
      <c r="E6" s="14">
        <f>D6*(1+E5)</f>
        <v>8344.063372000001</v>
      </c>
      <c r="F6" s="14">
        <f>E6*(1+F5)</f>
        <v>8260.622738280001</v>
      </c>
    </row>
    <row r="7" ht="20.05" customHeight="1">
      <c r="B7" t="s" s="10">
        <v>6</v>
      </c>
      <c r="C7" s="15">
        <f>'Sales'!G32</f>
        <v>-0.787527817648167</v>
      </c>
      <c r="D7" s="16">
        <f>C7</f>
        <v>-0.787527817648167</v>
      </c>
      <c r="E7" s="16">
        <f>D7</f>
        <v>-0.787527817648167</v>
      </c>
      <c r="F7" s="16">
        <f>E7</f>
        <v>-0.787527817648167</v>
      </c>
    </row>
    <row r="8" ht="20.05" customHeight="1">
      <c r="B8" t="s" s="10">
        <v>7</v>
      </c>
      <c r="C8" s="13">
        <f>C6*C7</f>
        <v>-6193.969288028250</v>
      </c>
      <c r="D8" s="14">
        <f>D6*D7</f>
        <v>-6379.788366669090</v>
      </c>
      <c r="E8" s="14">
        <f>E6*E7</f>
        <v>-6571.182017669170</v>
      </c>
      <c r="F8" s="14">
        <f>F6*F7</f>
        <v>-6505.470197492470</v>
      </c>
    </row>
    <row r="9" ht="20.05" customHeight="1">
      <c r="B9" t="s" s="10">
        <v>8</v>
      </c>
      <c r="C9" s="13">
        <f>C6+C8</f>
        <v>1671.110711971750</v>
      </c>
      <c r="D9" s="14">
        <f>D6+D8</f>
        <v>1721.244033330910</v>
      </c>
      <c r="E9" s="14">
        <f>E6+E8</f>
        <v>1772.881354330830</v>
      </c>
      <c r="F9" s="14">
        <f>F6+F8</f>
        <v>1755.152540787530</v>
      </c>
    </row>
    <row r="10" ht="20.05" customHeight="1">
      <c r="B10" t="s" s="10">
        <v>9</v>
      </c>
      <c r="C10" s="13">
        <f>AVERAGE('Cashflow'!G32)</f>
        <v>-480</v>
      </c>
      <c r="D10" s="14">
        <f>C10</f>
        <v>-480</v>
      </c>
      <c r="E10" s="14">
        <f>D10</f>
        <v>-480</v>
      </c>
      <c r="F10" s="14">
        <f>E10</f>
        <v>-480</v>
      </c>
    </row>
    <row r="11" ht="20.05" customHeight="1">
      <c r="B11" t="s" s="10">
        <v>10</v>
      </c>
      <c r="C11" s="13">
        <f>C12+C15+C13</f>
        <v>-1191.110711971750</v>
      </c>
      <c r="D11" s="14">
        <f>D12+D15+D13</f>
        <v>-1241.244033330910</v>
      </c>
      <c r="E11" s="14">
        <f>E12+E15+E13</f>
        <v>-1292.881354330830</v>
      </c>
      <c r="F11" s="14">
        <f>F12+F15+F13</f>
        <v>-1275.152540787530</v>
      </c>
    </row>
    <row r="12" ht="20.05" customHeight="1">
      <c r="B12" t="s" s="10">
        <v>11</v>
      </c>
      <c r="C12" s="13">
        <f>-('Balance sheet'!G32)/20</f>
        <v>-1889.15</v>
      </c>
      <c r="D12" s="14">
        <f>-C27/20</f>
        <v>-1794.6925</v>
      </c>
      <c r="E12" s="14">
        <f>-D27/20</f>
        <v>-1704.957875</v>
      </c>
      <c r="F12" s="14">
        <f>-E27/20</f>
        <v>-1619.70998125</v>
      </c>
    </row>
    <row r="13" ht="20.05" customHeight="1">
      <c r="B13" t="s" s="10">
        <v>12</v>
      </c>
      <c r="C13" s="13">
        <f>-MIN(0,C16)</f>
        <v>1128.794644014130</v>
      </c>
      <c r="D13" s="14">
        <f>-MIN(C28,D16)</f>
        <v>1009.270483334550</v>
      </c>
      <c r="E13" s="14">
        <f>-MIN(D28,E16)</f>
        <v>893.717197834585</v>
      </c>
      <c r="F13" s="14">
        <f>-MIN(E28,F16)</f>
        <v>817.333710856235</v>
      </c>
    </row>
    <row r="14" ht="20.05" customHeight="1">
      <c r="B14" t="s" s="10">
        <v>13</v>
      </c>
      <c r="C14" s="17">
        <v>0.5</v>
      </c>
      <c r="D14" s="14"/>
      <c r="E14" s="14"/>
      <c r="F14" s="14"/>
    </row>
    <row r="15" ht="20.05" customHeight="1">
      <c r="B15" t="s" s="10">
        <v>14</v>
      </c>
      <c r="C15" s="13">
        <f>IF(C22&gt;0,-C22*$C$14,0)</f>
        <v>-430.755355985875</v>
      </c>
      <c r="D15" s="14">
        <f>IF(D22&gt;0,-D22*$C$14,0)</f>
        <v>-455.822016665455</v>
      </c>
      <c r="E15" s="14">
        <f>IF(E22&gt;0,-E22*$C$14,0)</f>
        <v>-481.640677165415</v>
      </c>
      <c r="F15" s="14">
        <f>IF(F22&gt;0,-F22*$C$14,0)</f>
        <v>-472.776270393765</v>
      </c>
    </row>
    <row r="16" ht="20.05" customHeight="1">
      <c r="B16" t="s" s="10">
        <v>15</v>
      </c>
      <c r="C16" s="13">
        <f>C9+C10+C12+C15</f>
        <v>-1128.794644014130</v>
      </c>
      <c r="D16" s="14">
        <f>D9+D10+D12+D15</f>
        <v>-1009.270483334550</v>
      </c>
      <c r="E16" s="14">
        <f>E9+E10+E12+E15</f>
        <v>-893.717197834585</v>
      </c>
      <c r="F16" s="14">
        <f>F9+F10+F12+F15</f>
        <v>-817.333710856235</v>
      </c>
    </row>
    <row r="17" ht="20.05" customHeight="1">
      <c r="B17" t="s" s="10">
        <v>16</v>
      </c>
      <c r="C17" s="13">
        <f>'Balance sheet'!C32</f>
        <v>3749.6</v>
      </c>
      <c r="D17" s="14">
        <f>C19</f>
        <v>3749.6</v>
      </c>
      <c r="E17" s="14">
        <f>D19</f>
        <v>3749.6</v>
      </c>
      <c r="F17" s="14">
        <f>E19</f>
        <v>3749.6</v>
      </c>
    </row>
    <row r="18" ht="20.05" customHeight="1">
      <c r="B18" t="s" s="10">
        <v>17</v>
      </c>
      <c r="C18" s="13">
        <f>C9+C10+C11</f>
        <v>0</v>
      </c>
      <c r="D18" s="14">
        <f>D9+D10+D11</f>
        <v>0</v>
      </c>
      <c r="E18" s="14">
        <f>E9+E10+E11</f>
        <v>0</v>
      </c>
      <c r="F18" s="14">
        <f>F9+F10+F11</f>
        <v>0</v>
      </c>
    </row>
    <row r="19" ht="20.05" customHeight="1">
      <c r="B19" t="s" s="10">
        <v>18</v>
      </c>
      <c r="C19" s="13">
        <f>C17+C18</f>
        <v>3749.6</v>
      </c>
      <c r="D19" s="14">
        <f>D17+D18</f>
        <v>3749.6</v>
      </c>
      <c r="E19" s="14">
        <f>E17+E18</f>
        <v>3749.6</v>
      </c>
      <c r="F19" s="14">
        <f>F17+F18</f>
        <v>3749.6</v>
      </c>
    </row>
    <row r="20" ht="20.05" customHeight="1">
      <c r="B20" t="s" s="18">
        <v>19</v>
      </c>
      <c r="C20" s="19"/>
      <c r="D20" s="20"/>
      <c r="E20" s="20"/>
      <c r="F20" s="21"/>
    </row>
    <row r="21" ht="20.05" customHeight="1">
      <c r="B21" t="s" s="10">
        <v>20</v>
      </c>
      <c r="C21" s="13">
        <f>-AVERAGE('Cashflow'!D32)</f>
        <v>-809.6</v>
      </c>
      <c r="D21" s="14">
        <f>C21</f>
        <v>-809.6</v>
      </c>
      <c r="E21" s="14">
        <f>D21</f>
        <v>-809.6</v>
      </c>
      <c r="F21" s="14">
        <f>E21</f>
        <v>-809.6</v>
      </c>
    </row>
    <row r="22" ht="20.05" customHeight="1">
      <c r="B22" t="s" s="10">
        <v>21</v>
      </c>
      <c r="C22" s="13">
        <f>C6+C8+C21</f>
        <v>861.510711971750</v>
      </c>
      <c r="D22" s="14">
        <f>D6+D8+D21</f>
        <v>911.644033330910</v>
      </c>
      <c r="E22" s="14">
        <f>E6+E8+E21</f>
        <v>963.281354330830</v>
      </c>
      <c r="F22" s="14">
        <f>F6+F8+F21</f>
        <v>945.552540787530</v>
      </c>
    </row>
    <row r="23" ht="20.05" customHeight="1">
      <c r="B23" t="s" s="18">
        <v>22</v>
      </c>
      <c r="C23" s="19"/>
      <c r="D23" s="20"/>
      <c r="E23" s="20"/>
      <c r="F23" s="14"/>
    </row>
    <row r="24" ht="20.05" customHeight="1">
      <c r="B24" t="s" s="10">
        <v>23</v>
      </c>
      <c r="C24" s="13">
        <f>'Balance sheet'!F32+'Balance sheet'!E32-C10</f>
        <v>36055.8</v>
      </c>
      <c r="D24" s="14">
        <f>C24-D10</f>
        <v>36535.8</v>
      </c>
      <c r="E24" s="14">
        <f>D24-E10</f>
        <v>37015.8</v>
      </c>
      <c r="F24" s="14">
        <f>E24-F10</f>
        <v>37495.8</v>
      </c>
    </row>
    <row r="25" ht="20.05" customHeight="1">
      <c r="B25" t="s" s="10">
        <v>24</v>
      </c>
      <c r="C25" s="13">
        <f>'Balance sheet'!F32-C21</f>
        <v>11113</v>
      </c>
      <c r="D25" s="14">
        <f>C25-D21</f>
        <v>11922.6</v>
      </c>
      <c r="E25" s="14">
        <f>D25-E21</f>
        <v>12732.2</v>
      </c>
      <c r="F25" s="14">
        <f>E25-F21</f>
        <v>13541.8</v>
      </c>
    </row>
    <row r="26" ht="20.05" customHeight="1">
      <c r="B26" t="s" s="10">
        <v>25</v>
      </c>
      <c r="C26" s="13">
        <f>C24-C25</f>
        <v>24942.8</v>
      </c>
      <c r="D26" s="14">
        <f>D24-D25</f>
        <v>24613.2</v>
      </c>
      <c r="E26" s="14">
        <f>E24-E25</f>
        <v>24283.6</v>
      </c>
      <c r="F26" s="14">
        <f>F24-F25</f>
        <v>23954</v>
      </c>
    </row>
    <row r="27" ht="20.05" customHeight="1">
      <c r="B27" t="s" s="10">
        <v>11</v>
      </c>
      <c r="C27" s="13">
        <f>'Balance sheet'!G32+C12</f>
        <v>35893.85</v>
      </c>
      <c r="D27" s="14">
        <f>C27+D12</f>
        <v>34099.1575</v>
      </c>
      <c r="E27" s="14">
        <f>D27+E12</f>
        <v>32394.199625</v>
      </c>
      <c r="F27" s="14">
        <f>E27+F12</f>
        <v>30774.48964375</v>
      </c>
    </row>
    <row r="28" ht="20.05" customHeight="1">
      <c r="B28" t="s" s="10">
        <v>26</v>
      </c>
      <c r="C28" s="13">
        <f>C13</f>
        <v>1128.794644014130</v>
      </c>
      <c r="D28" s="14">
        <f>C28+D13</f>
        <v>2138.065127348680</v>
      </c>
      <c r="E28" s="14">
        <f>D28+E13</f>
        <v>3031.782325183270</v>
      </c>
      <c r="F28" s="14">
        <f>E28+F13</f>
        <v>3849.116036039510</v>
      </c>
    </row>
    <row r="29" ht="20.05" customHeight="1">
      <c r="B29" t="s" s="10">
        <v>27</v>
      </c>
      <c r="C29" s="13">
        <f>'Balance sheet'!H32+C22+C15</f>
        <v>-8330.244644014130</v>
      </c>
      <c r="D29" s="14">
        <f>C29+D22+D15</f>
        <v>-7874.422627348680</v>
      </c>
      <c r="E29" s="14">
        <f>D29+E22+E15</f>
        <v>-7392.781950183270</v>
      </c>
      <c r="F29" s="14">
        <f>E29+F22+F15</f>
        <v>-6920.005679789510</v>
      </c>
    </row>
    <row r="30" ht="20.05" customHeight="1">
      <c r="B30" t="s" s="10">
        <v>28</v>
      </c>
      <c r="C30" s="13">
        <f>C27+C28+C29-C19-C26</f>
        <v>0</v>
      </c>
      <c r="D30" s="14">
        <f>D27+D28+D29-D19-D26</f>
        <v>0</v>
      </c>
      <c r="E30" s="14">
        <f>E27+E28+E29-E19-E26</f>
        <v>0</v>
      </c>
      <c r="F30" s="14">
        <f>F27+F28+F29-F19-F26</f>
        <v>0</v>
      </c>
    </row>
    <row r="31" ht="20.05" customHeight="1">
      <c r="B31" t="s" s="10">
        <v>29</v>
      </c>
      <c r="C31" s="13">
        <f>C19-C27-C28</f>
        <v>-33273.0446440141</v>
      </c>
      <c r="D31" s="14">
        <f>D19-D27-D28</f>
        <v>-32487.6226273487</v>
      </c>
      <c r="E31" s="14">
        <f>E19-E27-E28</f>
        <v>-31676.3819501833</v>
      </c>
      <c r="F31" s="14">
        <f>F19-F27-F28</f>
        <v>-30874.0056797895</v>
      </c>
    </row>
    <row r="32" ht="20.05" customHeight="1">
      <c r="B32" t="s" s="18">
        <v>30</v>
      </c>
      <c r="C32" s="13"/>
      <c r="D32" s="14"/>
      <c r="E32" s="14"/>
      <c r="F32" s="14"/>
    </row>
    <row r="33" ht="20.05" customHeight="1">
      <c r="B33" t="s" s="10">
        <v>31</v>
      </c>
      <c r="C33" s="13">
        <f>'Cashflow'!N32-C11</f>
        <v>24924.1107119718</v>
      </c>
      <c r="D33" s="14">
        <f>C33-D11</f>
        <v>26165.3547453027</v>
      </c>
      <c r="E33" s="14">
        <f>D33-E11</f>
        <v>27458.2360996335</v>
      </c>
      <c r="F33" s="14">
        <f>E33-F11</f>
        <v>28733.388640421</v>
      </c>
    </row>
    <row r="34" ht="20.05" customHeight="1">
      <c r="B34" t="s" s="10">
        <v>32</v>
      </c>
      <c r="C34" s="13"/>
      <c r="D34" s="14"/>
      <c r="E34" s="14"/>
      <c r="F34" s="14">
        <v>86697772025</v>
      </c>
    </row>
    <row r="35" ht="20.05" customHeight="1">
      <c r="B35" t="s" s="10">
        <v>32</v>
      </c>
      <c r="C35" s="13"/>
      <c r="D35" s="14"/>
      <c r="E35" s="14"/>
      <c r="F35" s="14">
        <f>F34/1000000</f>
        <v>86697.772025</v>
      </c>
    </row>
    <row r="36" ht="20.05" customHeight="1">
      <c r="B36" t="s" s="10">
        <v>33</v>
      </c>
      <c r="C36" s="13"/>
      <c r="D36" s="14"/>
      <c r="E36" s="14"/>
      <c r="F36" s="22">
        <f>F35/(F19+F26)</f>
        <v>3.12947674760681</v>
      </c>
    </row>
    <row r="37" ht="20.05" customHeight="1">
      <c r="B37" t="s" s="10">
        <v>34</v>
      </c>
      <c r="C37" s="13"/>
      <c r="D37" s="14"/>
      <c r="E37" s="14"/>
      <c r="F37" s="16">
        <f>-(C15+D15+E15+F15)/F35</f>
        <v>0.0212346208813722</v>
      </c>
    </row>
    <row r="38" ht="20.05" customHeight="1">
      <c r="B38" t="s" s="10">
        <v>35</v>
      </c>
      <c r="C38" s="13"/>
      <c r="D38" s="14"/>
      <c r="E38" s="14"/>
      <c r="F38" s="14">
        <f>SUM(C9:F10)</f>
        <v>5000.388640421020</v>
      </c>
    </row>
    <row r="39" ht="20.05" customHeight="1">
      <c r="B39" t="s" s="10">
        <v>36</v>
      </c>
      <c r="C39" s="13"/>
      <c r="D39" s="14"/>
      <c r="E39" s="14"/>
      <c r="F39" s="14">
        <f>'Balance sheet'!E32/F38</f>
        <v>5.054087155488</v>
      </c>
    </row>
    <row r="40" ht="20.05" customHeight="1">
      <c r="B40" t="s" s="10">
        <v>30</v>
      </c>
      <c r="C40" s="13"/>
      <c r="D40" s="14"/>
      <c r="E40" s="14"/>
      <c r="F40" s="14">
        <f>F35/F38</f>
        <v>17.3382067394066</v>
      </c>
    </row>
    <row r="41" ht="20.05" customHeight="1">
      <c r="B41" t="s" s="10">
        <v>37</v>
      </c>
      <c r="C41" s="13"/>
      <c r="D41" s="14"/>
      <c r="E41" s="14"/>
      <c r="F41" s="14">
        <v>25</v>
      </c>
    </row>
    <row r="42" ht="20.05" customHeight="1">
      <c r="B42" t="s" s="10">
        <v>38</v>
      </c>
      <c r="C42" s="13"/>
      <c r="D42" s="14"/>
      <c r="E42" s="14"/>
      <c r="F42" s="14">
        <f>F38*F41</f>
        <v>125009.716010526</v>
      </c>
    </row>
    <row r="43" ht="20.05" customHeight="1">
      <c r="B43" t="s" s="10">
        <v>39</v>
      </c>
      <c r="C43" s="13"/>
      <c r="D43" s="14"/>
      <c r="E43" s="14"/>
      <c r="F43" s="14">
        <f>F35/F45</f>
        <v>1166.390044732950</v>
      </c>
    </row>
    <row r="44" ht="20.05" customHeight="1">
      <c r="B44" t="s" s="10">
        <v>40</v>
      </c>
      <c r="C44" s="13"/>
      <c r="D44" s="14"/>
      <c r="E44" s="14"/>
      <c r="F44" s="14">
        <f>F42/F43</f>
        <v>107.176597206938</v>
      </c>
    </row>
    <row r="45" ht="20.05" customHeight="1">
      <c r="B45" t="s" s="10">
        <v>41</v>
      </c>
      <c r="C45" s="13"/>
      <c r="D45" s="14"/>
      <c r="E45" s="14"/>
      <c r="F45" s="14">
        <v>74.33</v>
      </c>
    </row>
    <row r="46" ht="20.05" customHeight="1">
      <c r="B46" t="s" s="10">
        <v>42</v>
      </c>
      <c r="C46" s="13"/>
      <c r="D46" s="14"/>
      <c r="E46" s="14"/>
      <c r="F46" s="16">
        <f>F44/F45-1</f>
        <v>0.44190228988212</v>
      </c>
    </row>
    <row r="47" ht="20.05" customHeight="1">
      <c r="B47" t="s" s="10">
        <v>43</v>
      </c>
      <c r="C47" s="13"/>
      <c r="D47" s="14"/>
      <c r="E47" s="14"/>
      <c r="F47" s="16">
        <f>'Sales'!C32/'Sales'!C28-1</f>
        <v>0.145170965806839</v>
      </c>
    </row>
    <row r="48" ht="20.05" customHeight="1">
      <c r="B48" t="s" s="10">
        <v>44</v>
      </c>
      <c r="C48" s="13"/>
      <c r="D48" s="14"/>
      <c r="E48" s="14"/>
      <c r="F48" s="16">
        <f>'Sales'!F35/'Sales'!E35-1</f>
        <v>-0.0344225711481845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B3:H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0625" style="23" customWidth="1"/>
    <col min="2" max="2" width="8.0625" style="23" customWidth="1"/>
    <col min="3" max="8" width="12.3359" style="23" customWidth="1"/>
    <col min="9" max="16384" width="16.3516" style="23" customWidth="1"/>
  </cols>
  <sheetData>
    <row r="1" ht="37.8" customHeight="1"/>
    <row r="2" ht="27.65" customHeight="1">
      <c r="B2" t="s" s="2">
        <v>5</v>
      </c>
      <c r="C2" s="2"/>
      <c r="D2" s="2"/>
      <c r="E2" s="2"/>
      <c r="F2" s="2"/>
      <c r="G2" s="2"/>
      <c r="H2" s="2"/>
    </row>
    <row r="3" ht="20.25" customHeight="1">
      <c r="B3" t="s" s="5">
        <v>1</v>
      </c>
      <c r="C3" t="s" s="5">
        <v>5</v>
      </c>
      <c r="D3" t="s" s="5">
        <v>37</v>
      </c>
      <c r="E3" t="s" s="5">
        <v>45</v>
      </c>
      <c r="F3" t="s" s="5">
        <v>6</v>
      </c>
      <c r="G3" t="s" s="5">
        <v>6</v>
      </c>
      <c r="H3" t="s" s="5">
        <v>37</v>
      </c>
    </row>
    <row r="4" ht="20.25" customHeight="1">
      <c r="B4" s="24">
        <v>2015</v>
      </c>
      <c r="C4" s="25">
        <v>4564</v>
      </c>
      <c r="D4" s="26"/>
      <c r="E4" s="27"/>
      <c r="F4" s="27">
        <f>('Cashflow'!C4+'Cashflow'!D4-C4)/C4</f>
        <v>-0.844434706397897</v>
      </c>
      <c r="G4" s="27"/>
      <c r="H4" s="27"/>
    </row>
    <row r="5" ht="20.05" customHeight="1">
      <c r="B5" s="28"/>
      <c r="C5" s="13">
        <v>4881</v>
      </c>
      <c r="D5" s="14"/>
      <c r="E5" s="16">
        <f>C5/C4-1</f>
        <v>0.0694566170026293</v>
      </c>
      <c r="F5" s="16">
        <f>('Cashflow'!C5+'Cashflow'!D5-C5)/C5</f>
        <v>-0.818479819709076</v>
      </c>
      <c r="G5" s="16"/>
      <c r="H5" s="16"/>
    </row>
    <row r="6" ht="20.05" customHeight="1">
      <c r="B6" s="28"/>
      <c r="C6" s="13">
        <v>5945</v>
      </c>
      <c r="D6" s="14"/>
      <c r="E6" s="16">
        <f>C6/C5-1</f>
        <v>0.217988117189101</v>
      </c>
      <c r="F6" s="16">
        <f>('Cashflow'!C6+'Cashflow'!D6-C6)/C6</f>
        <v>-0.949032800672834</v>
      </c>
      <c r="G6" s="16"/>
      <c r="H6" s="16"/>
    </row>
    <row r="7" ht="20.05" customHeight="1">
      <c r="B7" s="28"/>
      <c r="C7" s="13">
        <v>4211</v>
      </c>
      <c r="D7" s="14"/>
      <c r="E7" s="16">
        <f>C7/C6-1</f>
        <v>-0.291673675357443</v>
      </c>
      <c r="F7" s="16">
        <f>('Cashflow'!C7+'Cashflow'!D7-C7)/C7</f>
        <v>-0.717644265020185</v>
      </c>
      <c r="G7" s="16"/>
      <c r="H7" s="16"/>
    </row>
    <row r="8" ht="20.05" customHeight="1">
      <c r="B8" s="29">
        <v>2016</v>
      </c>
      <c r="C8" s="13">
        <v>4993</v>
      </c>
      <c r="D8" s="14"/>
      <c r="E8" s="16">
        <f>C8/C7-1</f>
        <v>0.185704108287818</v>
      </c>
      <c r="F8" s="16">
        <f>('Cashflow'!C8+'Cashflow'!D8-C8)/C8</f>
        <v>-0.820949329060685</v>
      </c>
      <c r="G8" s="16">
        <f>AVERAGE(F5:F8)</f>
        <v>-0.826526553615695</v>
      </c>
      <c r="H8" s="16"/>
    </row>
    <row r="9" ht="20.05" customHeight="1">
      <c r="B9" s="28"/>
      <c r="C9" s="13">
        <v>5238</v>
      </c>
      <c r="D9" s="14"/>
      <c r="E9" s="16">
        <f>C9/C8-1</f>
        <v>0.0490686961746445</v>
      </c>
      <c r="F9" s="16">
        <f>('Cashflow'!C9+'Cashflow'!D9-C9)/C9</f>
        <v>-0.79438717067583</v>
      </c>
      <c r="G9" s="16">
        <f>AVERAGE(F6:F9)</f>
        <v>-0.820503391357384</v>
      </c>
      <c r="H9" s="16"/>
    </row>
    <row r="10" ht="20.05" customHeight="1">
      <c r="B10" s="28"/>
      <c r="C10" s="13">
        <v>6874</v>
      </c>
      <c r="D10" s="14"/>
      <c r="E10" s="16">
        <f>C10/C9-1</f>
        <v>0.312332951508209</v>
      </c>
      <c r="F10" s="16">
        <f>('Cashflow'!C10+'Cashflow'!D10-C10)/C10</f>
        <v>-0.845504800698283</v>
      </c>
      <c r="G10" s="16">
        <f>AVERAGE(F7:F10)</f>
        <v>-0.794621391363746</v>
      </c>
      <c r="H10" s="16"/>
    </row>
    <row r="11" ht="20.05" customHeight="1">
      <c r="B11" s="28"/>
      <c r="C11" s="13">
        <v>4469</v>
      </c>
      <c r="D11" s="14"/>
      <c r="E11" s="16">
        <f>C11/C10-1</f>
        <v>-0.349869071864999</v>
      </c>
      <c r="F11" s="16">
        <f>('Cashflow'!C11+'Cashflow'!D11-C11)/C11</f>
        <v>-0.759454016558514</v>
      </c>
      <c r="G11" s="16">
        <f>AVERAGE(F8:F11)</f>
        <v>-0.805073829248328</v>
      </c>
      <c r="H11" s="16"/>
    </row>
    <row r="12" ht="20.05" customHeight="1">
      <c r="B12" s="29">
        <v>2017</v>
      </c>
      <c r="C12" s="13">
        <v>4195</v>
      </c>
      <c r="D12" s="14"/>
      <c r="E12" s="16">
        <f>C12/C11-1</f>
        <v>-0.061311255314388</v>
      </c>
      <c r="F12" s="16">
        <f>('Cashflow'!C12+'Cashflow'!D12-C12)/C12</f>
        <v>-0.768533969010727</v>
      </c>
      <c r="G12" s="16">
        <f>AVERAGE(F9:F12)</f>
        <v>-0.7919699892358389</v>
      </c>
      <c r="H12" s="16"/>
    </row>
    <row r="13" ht="20.05" customHeight="1">
      <c r="B13" s="28"/>
      <c r="C13" s="13">
        <v>5662</v>
      </c>
      <c r="D13" s="14"/>
      <c r="E13" s="16">
        <f>C13/C12-1</f>
        <v>0.349702026221692</v>
      </c>
      <c r="F13" s="16">
        <f>('Cashflow'!C13+'Cashflow'!D13-C13)/C13</f>
        <v>-0.810844224655599</v>
      </c>
      <c r="G13" s="16">
        <f>AVERAGE(F10:F13)</f>
        <v>-0.796084252730781</v>
      </c>
      <c r="H13" s="16"/>
    </row>
    <row r="14" ht="20.05" customHeight="1">
      <c r="B14" s="28"/>
      <c r="C14" s="13">
        <v>8061</v>
      </c>
      <c r="D14" s="14"/>
      <c r="E14" s="16">
        <f>C14/C13-1</f>
        <v>0.423701872129989</v>
      </c>
      <c r="F14" s="16">
        <f>('Cashflow'!C14+'Cashflow'!D14-C14)/C14</f>
        <v>-0.870363478476616</v>
      </c>
      <c r="G14" s="16">
        <f>AVERAGE(F11:F14)</f>
        <v>-0.802298922175364</v>
      </c>
      <c r="H14" s="16"/>
    </row>
    <row r="15" ht="20.05" customHeight="1">
      <c r="B15" s="28"/>
      <c r="C15" s="13">
        <v>6074</v>
      </c>
      <c r="D15" s="14"/>
      <c r="E15" s="16">
        <f>C15/C14-1</f>
        <v>-0.246495472025803</v>
      </c>
      <c r="F15" s="16">
        <f>('Cashflow'!C15+'Cashflow'!D15-C15)/C15</f>
        <v>-0.705136648007903</v>
      </c>
      <c r="G15" s="16">
        <f>AVERAGE(F12:F15)</f>
        <v>-0.788719580037711</v>
      </c>
      <c r="H15" s="16"/>
    </row>
    <row r="16" ht="20.05" customHeight="1">
      <c r="B16" s="29">
        <v>2018</v>
      </c>
      <c r="C16" s="13">
        <v>6032</v>
      </c>
      <c r="D16" s="14"/>
      <c r="E16" s="16">
        <f>C16/C15-1</f>
        <v>-0.00691471847217649</v>
      </c>
      <c r="F16" s="16">
        <f>('Cashflow'!C16+'Cashflow'!D16-C16)/C16</f>
        <v>-0.870026525198939</v>
      </c>
      <c r="G16" s="16">
        <f>AVERAGE(F13:F16)</f>
        <v>-0.814092719084764</v>
      </c>
      <c r="H16" s="16"/>
    </row>
    <row r="17" ht="20.05" customHeight="1">
      <c r="B17" s="28"/>
      <c r="C17" s="13">
        <v>6310</v>
      </c>
      <c r="D17" s="14"/>
      <c r="E17" s="16">
        <f>C17/C16-1</f>
        <v>0.0460875331564987</v>
      </c>
      <c r="F17" s="16">
        <f>('Cashflow'!C17+'Cashflow'!D17-C17)/C17</f>
        <v>-0.796038034865293</v>
      </c>
      <c r="G17" s="16">
        <f>AVERAGE(F14:F17)</f>
        <v>-0.810391171637188</v>
      </c>
      <c r="H17" s="16"/>
    </row>
    <row r="18" ht="20.05" customHeight="1">
      <c r="B18" s="28"/>
      <c r="C18" s="13">
        <v>6304</v>
      </c>
      <c r="D18" s="14"/>
      <c r="E18" s="16">
        <f>C18/C17-1</f>
        <v>-0.000950871632329635</v>
      </c>
      <c r="F18" s="16">
        <f>('Cashflow'!C18+'Cashflow'!D18-C18)/C18</f>
        <v>-0.815513959390863</v>
      </c>
      <c r="G18" s="16">
        <f>AVERAGE(F15:F18)</f>
        <v>-0.79667879186575</v>
      </c>
      <c r="H18" s="16"/>
    </row>
    <row r="19" ht="20.05" customHeight="1">
      <c r="B19" s="28"/>
      <c r="C19" s="13">
        <v>6633</v>
      </c>
      <c r="D19" s="14"/>
      <c r="E19" s="16">
        <f>C19/C18-1</f>
        <v>0.0521890862944162</v>
      </c>
      <c r="F19" s="16">
        <f>('Cashflow'!C19+'Cashflow'!D19-C19)/C19</f>
        <v>-0.869139152721242</v>
      </c>
      <c r="G19" s="16">
        <f>AVERAGE(F16:F19)</f>
        <v>-0.837679418044084</v>
      </c>
      <c r="H19" s="16"/>
    </row>
    <row r="20" ht="20.05" customHeight="1">
      <c r="B20" s="29">
        <v>2019</v>
      </c>
      <c r="C20" s="13">
        <v>6306</v>
      </c>
      <c r="D20" s="14"/>
      <c r="E20" s="16">
        <f>C20/C19-1</f>
        <v>-0.0492989597467209</v>
      </c>
      <c r="F20" s="16">
        <f>('Cashflow'!C20+'Cashflow'!D20-C20)/C20</f>
        <v>-0.871233745639074</v>
      </c>
      <c r="G20" s="16">
        <f>AVERAGE(F17:F20)</f>
        <v>-0.837981223154118</v>
      </c>
      <c r="H20" s="16"/>
    </row>
    <row r="21" ht="20.05" customHeight="1">
      <c r="B21" s="28"/>
      <c r="C21" s="13">
        <v>6823</v>
      </c>
      <c r="D21" s="14"/>
      <c r="E21" s="16">
        <f>C21/C20-1</f>
        <v>0.0819854107199493</v>
      </c>
      <c r="F21" s="16">
        <f>('Cashflow'!C21+'Cashflow'!D21-C21)/C21</f>
        <v>-0.737358933020665</v>
      </c>
      <c r="G21" s="16">
        <f>AVERAGE(F18:F21)</f>
        <v>-0.8233114476929611</v>
      </c>
      <c r="H21" s="16"/>
    </row>
    <row r="22" ht="20.05" customHeight="1">
      <c r="B22" s="28"/>
      <c r="C22" s="13">
        <v>6747</v>
      </c>
      <c r="D22" s="14"/>
      <c r="E22" s="16">
        <f>C22/C21-1</f>
        <v>-0.0111387952513557</v>
      </c>
      <c r="F22" s="16">
        <f>('Cashflow'!C22+'Cashflow'!D22-C22)/C22</f>
        <v>-1.01081962353639</v>
      </c>
      <c r="G22" s="16">
        <f>AVERAGE(F19:F22)</f>
        <v>-0.872137863729343</v>
      </c>
      <c r="H22" s="16"/>
    </row>
    <row r="23" ht="20.05" customHeight="1">
      <c r="B23" s="28"/>
      <c r="C23" s="13">
        <v>7097</v>
      </c>
      <c r="D23" s="14"/>
      <c r="E23" s="16">
        <f>C23/C22-1</f>
        <v>0.0518749073662368</v>
      </c>
      <c r="F23" s="16">
        <f>('Cashflow'!C23+'Cashflow'!D23-C23)/C23</f>
        <v>-0.766802874453995</v>
      </c>
      <c r="G23" s="16">
        <f>AVERAGE(F20:F23)</f>
        <v>-0.846553794162531</v>
      </c>
      <c r="H23" s="16"/>
    </row>
    <row r="24" ht="20.05" customHeight="1">
      <c r="B24" s="29">
        <v>2020</v>
      </c>
      <c r="C24" s="13">
        <v>5996</v>
      </c>
      <c r="D24" s="14"/>
      <c r="E24" s="16">
        <f>C24/C23-1</f>
        <v>-0.155135972946315</v>
      </c>
      <c r="F24" s="16">
        <f>('Cashflow'!C24+'Cashflow'!D24-C24)/C24</f>
        <v>-0.809372915276851</v>
      </c>
      <c r="G24" s="16">
        <f>AVERAGE(F21:F24)</f>
        <v>-0.831088586571975</v>
      </c>
      <c r="H24" s="16"/>
    </row>
    <row r="25" ht="20.05" customHeight="1">
      <c r="B25" s="28"/>
      <c r="C25" s="13">
        <v>4222</v>
      </c>
      <c r="D25" s="14"/>
      <c r="E25" s="16">
        <f>C25/C24-1</f>
        <v>-0.295863909272849</v>
      </c>
      <c r="F25" s="16">
        <f>('Cashflow'!C25+'Cashflow'!D25-C25)/C25</f>
        <v>-0.9666035054476551</v>
      </c>
      <c r="G25" s="16">
        <f>AVERAGE(F22:F25)</f>
        <v>-0.888399729678723</v>
      </c>
      <c r="H25" s="16"/>
    </row>
    <row r="26" ht="20.05" customHeight="1">
      <c r="B26" s="28"/>
      <c r="C26" s="13">
        <v>6203</v>
      </c>
      <c r="D26" s="14">
        <v>4644.2</v>
      </c>
      <c r="E26" s="16">
        <f>C26/C25-1</f>
        <v>0.469208905731881</v>
      </c>
      <c r="F26" s="16">
        <f>('Cashflow'!C26+'Cashflow'!D26-C26)/C26</f>
        <v>-0.784620344994358</v>
      </c>
      <c r="G26" s="16">
        <f>AVERAGE(F23:F26)</f>
        <v>-0.831849910043215</v>
      </c>
      <c r="H26" s="16"/>
    </row>
    <row r="27" ht="20.05" customHeight="1">
      <c r="B27" s="28"/>
      <c r="C27" s="13">
        <v>6749</v>
      </c>
      <c r="D27" s="14">
        <v>6575.18</v>
      </c>
      <c r="E27" s="16">
        <f>C27/C26-1</f>
        <v>0.0880219248750605</v>
      </c>
      <c r="F27" s="16">
        <f>('Cashflow'!C27+'Cashflow'!D27-C27)/C27</f>
        <v>-0.771521706919544</v>
      </c>
      <c r="G27" s="16">
        <f>AVERAGE(F24:F27)</f>
        <v>-0.833029618159602</v>
      </c>
      <c r="H27" s="16"/>
    </row>
    <row r="28" ht="20.05" customHeight="1">
      <c r="B28" s="29">
        <v>2021</v>
      </c>
      <c r="C28" s="13">
        <v>6668</v>
      </c>
      <c r="D28" s="14">
        <v>6749</v>
      </c>
      <c r="E28" s="16">
        <f>C28/C27-1</f>
        <v>-0.0120017780411913</v>
      </c>
      <c r="F28" s="16">
        <f>('Cashflow'!C28+'Cashflow'!D28-C28)/C28</f>
        <v>-0.784043191361728</v>
      </c>
      <c r="G28" s="16">
        <f>AVERAGE(F25:F28)</f>
        <v>-0.826697187180821</v>
      </c>
      <c r="H28" s="16"/>
    </row>
    <row r="29" ht="20.05" customHeight="1">
      <c r="B29" s="28"/>
      <c r="C29" s="13">
        <v>7497</v>
      </c>
      <c r="D29" s="14">
        <v>7201.44</v>
      </c>
      <c r="E29" s="16">
        <f>C29/C28-1</f>
        <v>0.124325134973005</v>
      </c>
      <c r="F29" s="16">
        <f>('Cashflow'!C29+'Cashflow'!D29-C29)/C29</f>
        <v>-0.78578097905829</v>
      </c>
      <c r="G29" s="16">
        <f>AVERAGE(F26:F29)</f>
        <v>-0.78149155558348</v>
      </c>
      <c r="H29" s="16"/>
    </row>
    <row r="30" ht="20.05" customHeight="1">
      <c r="B30" s="28"/>
      <c r="C30" s="13">
        <f>29061-C29-C28-C27</f>
        <v>8147</v>
      </c>
      <c r="D30" s="20">
        <v>7422</v>
      </c>
      <c r="E30" s="16">
        <f>C30/C29-1</f>
        <v>0.0867013472055489</v>
      </c>
      <c r="F30" s="16">
        <f>('Cashflow'!C30+'Cashflow'!D30-C30)/C30</f>
        <v>-0.76650300724193</v>
      </c>
      <c r="G30" s="16">
        <f>AVERAGE(F27:F30)</f>
        <v>-0.7769622211453731</v>
      </c>
      <c r="H30" s="16"/>
    </row>
    <row r="31" ht="20.05" customHeight="1">
      <c r="B31" s="28"/>
      <c r="C31" s="13">
        <v>8050</v>
      </c>
      <c r="D31" s="14">
        <v>8554.35</v>
      </c>
      <c r="E31" s="16">
        <f>C31/C30-1</f>
        <v>-0.0119062231496256</v>
      </c>
      <c r="F31" s="16">
        <f>('Cashflow'!C31+'Cashflow'!D31-C31)/C31</f>
        <v>-0.792248447204969</v>
      </c>
      <c r="G31" s="16">
        <f>AVERAGE(F28:F31)</f>
        <v>-0.782143906216729</v>
      </c>
      <c r="H31" s="16"/>
    </row>
    <row r="32" ht="20.05" customHeight="1">
      <c r="B32" s="29">
        <v>2022</v>
      </c>
      <c r="C32" s="13">
        <v>7636</v>
      </c>
      <c r="D32" s="14">
        <v>8050</v>
      </c>
      <c r="E32" s="16">
        <f>C32/C31-1</f>
        <v>-0.0514285714285714</v>
      </c>
      <c r="F32" s="16">
        <f>('Cashflow'!C32+'Cashflow'!D32-C32)/C32</f>
        <v>-0.80557883708748</v>
      </c>
      <c r="G32" s="16">
        <f>AVERAGE(F29:F32)</f>
        <v>-0.787527817648167</v>
      </c>
      <c r="H32" s="16">
        <v>-0.782143906216729</v>
      </c>
    </row>
    <row r="33" ht="20.05" customHeight="1">
      <c r="B33" s="28"/>
      <c r="C33" s="13"/>
      <c r="D33" s="14">
        <f>'Model'!C6</f>
        <v>7865.08</v>
      </c>
      <c r="E33" s="12"/>
      <c r="F33" s="16"/>
      <c r="G33" s="16"/>
      <c r="H33" s="16">
        <f>AVERAGE('Model'!C7:F7)</f>
        <v>-0.787527817648167</v>
      </c>
    </row>
    <row r="34" ht="20.05" customHeight="1">
      <c r="B34" s="28"/>
      <c r="C34" s="13"/>
      <c r="D34" s="14">
        <f>'Model'!D6</f>
        <v>8101.0324</v>
      </c>
      <c r="E34" s="12"/>
      <c r="F34" s="16"/>
      <c r="G34" s="16"/>
      <c r="H34" s="16"/>
    </row>
    <row r="35" ht="20.05" customHeight="1">
      <c r="B35" s="28"/>
      <c r="C35" s="13"/>
      <c r="D35" s="14">
        <f>'Model'!E6</f>
        <v>8344.063372000001</v>
      </c>
      <c r="E35" s="14">
        <f>SUM(C26:C32)</f>
        <v>50950</v>
      </c>
      <c r="F35" s="14">
        <f>SUM(D26:D32)</f>
        <v>49196.17</v>
      </c>
      <c r="G35" s="16"/>
      <c r="H35" s="16"/>
    </row>
    <row r="36" ht="20.05" customHeight="1">
      <c r="B36" s="29">
        <v>2023</v>
      </c>
      <c r="C36" s="13"/>
      <c r="D36" s="14">
        <f>'Model'!F6</f>
        <v>8260.622738280001</v>
      </c>
      <c r="E36" s="12"/>
      <c r="F36" s="16"/>
      <c r="G36" s="16"/>
      <c r="H36" s="16"/>
    </row>
  </sheetData>
  <mergeCells count="1">
    <mergeCell ref="B2:H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3125" style="30" customWidth="1"/>
    <col min="2" max="2" width="11.0781" style="30" customWidth="1"/>
    <col min="3" max="16" width="9.6875" style="30" customWidth="1"/>
    <col min="17" max="16384" width="16.3516" style="30" customWidth="1"/>
  </cols>
  <sheetData>
    <row r="1" ht="62" customHeight="1"/>
    <row r="2" ht="27.65" customHeight="1">
      <c r="B2" t="s" s="2">
        <v>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46</v>
      </c>
      <c r="D3" t="s" s="5">
        <v>20</v>
      </c>
      <c r="E3" t="s" s="5">
        <v>47</v>
      </c>
      <c r="F3" t="s" s="5">
        <v>8</v>
      </c>
      <c r="G3" t="s" s="5">
        <v>9</v>
      </c>
      <c r="H3" t="s" s="5">
        <v>11</v>
      </c>
      <c r="I3" t="s" s="5">
        <v>14</v>
      </c>
      <c r="J3" t="s" s="5">
        <v>48</v>
      </c>
      <c r="K3" t="s" s="5">
        <v>49</v>
      </c>
      <c r="L3" t="s" s="5">
        <v>35</v>
      </c>
      <c r="M3" t="s" s="5">
        <v>37</v>
      </c>
      <c r="N3" t="s" s="5">
        <v>31</v>
      </c>
      <c r="O3" t="s" s="5">
        <v>37</v>
      </c>
      <c r="P3" s="31"/>
    </row>
    <row r="4" ht="20.25" customHeight="1">
      <c r="B4" s="24">
        <v>2015</v>
      </c>
      <c r="C4" s="25">
        <v>495</v>
      </c>
      <c r="D4" s="26">
        <v>215</v>
      </c>
      <c r="E4" s="26">
        <f>F4-D4-C4</f>
        <v>-134</v>
      </c>
      <c r="F4" s="26">
        <v>576</v>
      </c>
      <c r="G4" s="26">
        <v>-350</v>
      </c>
      <c r="H4" s="26"/>
      <c r="I4" s="26"/>
      <c r="J4" s="26">
        <v>-307</v>
      </c>
      <c r="K4" s="26">
        <f>F4+G4</f>
        <v>226</v>
      </c>
      <c r="L4" s="26"/>
      <c r="M4" s="26"/>
      <c r="N4" s="26">
        <f>-J4</f>
        <v>307</v>
      </c>
      <c r="O4" s="26"/>
      <c r="P4" s="26">
        <v>1</v>
      </c>
    </row>
    <row r="5" ht="20.05" customHeight="1">
      <c r="B5" s="28"/>
      <c r="C5" s="13">
        <v>627</v>
      </c>
      <c r="D5" s="14">
        <v>259</v>
      </c>
      <c r="E5" s="14">
        <f>F5-D5-C5</f>
        <v>-108</v>
      </c>
      <c r="F5" s="14">
        <v>778</v>
      </c>
      <c r="G5" s="14">
        <v>-419</v>
      </c>
      <c r="H5" s="14"/>
      <c r="I5" s="14"/>
      <c r="J5" s="14">
        <v>-22</v>
      </c>
      <c r="K5" s="14">
        <f>F5+G5</f>
        <v>359</v>
      </c>
      <c r="L5" s="14"/>
      <c r="M5" s="14"/>
      <c r="N5" s="14">
        <f>-J5+N4</f>
        <v>329</v>
      </c>
      <c r="O5" s="14"/>
      <c r="P5" s="14">
        <f>1+P4</f>
        <v>2</v>
      </c>
    </row>
    <row r="6" ht="20.05" customHeight="1">
      <c r="B6" s="28"/>
      <c r="C6" s="13">
        <v>-39</v>
      </c>
      <c r="D6" s="14">
        <v>342</v>
      </c>
      <c r="E6" s="14">
        <f>F6-D6-C6</f>
        <v>-2474</v>
      </c>
      <c r="F6" s="14">
        <v>-2171</v>
      </c>
      <c r="G6" s="14">
        <v>474</v>
      </c>
      <c r="H6" s="14"/>
      <c r="I6" s="14"/>
      <c r="J6" s="14">
        <v>374</v>
      </c>
      <c r="K6" s="14">
        <f>F6+G6</f>
        <v>-1697</v>
      </c>
      <c r="L6" s="14"/>
      <c r="M6" s="14"/>
      <c r="N6" s="14">
        <f>-J6+N5</f>
        <v>-45</v>
      </c>
      <c r="O6" s="14"/>
      <c r="P6" s="14">
        <f>1+P5</f>
        <v>3</v>
      </c>
    </row>
    <row r="7" ht="20.05" customHeight="1">
      <c r="B7" s="28"/>
      <c r="C7" s="13">
        <v>688</v>
      </c>
      <c r="D7" s="14">
        <v>501</v>
      </c>
      <c r="E7" s="14">
        <f>F7-D7-C7</f>
        <v>447</v>
      </c>
      <c r="F7" s="14">
        <v>1636</v>
      </c>
      <c r="G7" s="14">
        <v>-360</v>
      </c>
      <c r="H7" s="14"/>
      <c r="I7" s="14"/>
      <c r="J7" s="14">
        <v>-529</v>
      </c>
      <c r="K7" s="14">
        <f>F7+G7</f>
        <v>1276</v>
      </c>
      <c r="L7" s="14"/>
      <c r="M7" s="14"/>
      <c r="N7" s="14">
        <f>-J7+N6</f>
        <v>484</v>
      </c>
      <c r="O7" s="14"/>
      <c r="P7" s="14">
        <f>1+P6</f>
        <v>4</v>
      </c>
    </row>
    <row r="8" ht="20.05" customHeight="1">
      <c r="B8" s="29">
        <v>2016</v>
      </c>
      <c r="C8" s="13">
        <v>575</v>
      </c>
      <c r="D8" s="14">
        <v>319</v>
      </c>
      <c r="E8" s="14">
        <f>F8-D8-C8</f>
        <v>-344</v>
      </c>
      <c r="F8" s="14">
        <v>550</v>
      </c>
      <c r="G8" s="14">
        <v>-593</v>
      </c>
      <c r="H8" s="14"/>
      <c r="I8" s="14"/>
      <c r="J8" s="14">
        <v>-934</v>
      </c>
      <c r="K8" s="14">
        <f>F8+G8</f>
        <v>-43</v>
      </c>
      <c r="L8" s="14">
        <f>AVERAGE(K5:K8)</f>
        <v>-26.25</v>
      </c>
      <c r="M8" s="14"/>
      <c r="N8" s="14">
        <f>-J8+N7</f>
        <v>1418</v>
      </c>
      <c r="O8" s="14"/>
      <c r="P8" s="14">
        <f>1+P7</f>
        <v>5</v>
      </c>
    </row>
    <row r="9" ht="20.05" customHeight="1">
      <c r="B9" s="28"/>
      <c r="C9" s="13">
        <v>754</v>
      </c>
      <c r="D9" s="14">
        <v>323</v>
      </c>
      <c r="E9" s="14">
        <f>F9-D9-C9</f>
        <v>4</v>
      </c>
      <c r="F9" s="14">
        <v>1081</v>
      </c>
      <c r="G9" s="14">
        <v>-605</v>
      </c>
      <c r="H9" s="14"/>
      <c r="I9" s="14"/>
      <c r="J9" s="14">
        <v>369</v>
      </c>
      <c r="K9" s="14">
        <f>F9+G9</f>
        <v>476</v>
      </c>
      <c r="L9" s="14">
        <f>AVERAGE(K6:K9)</f>
        <v>3</v>
      </c>
      <c r="M9" s="14"/>
      <c r="N9" s="14">
        <f>-J9+N8</f>
        <v>1049</v>
      </c>
      <c r="O9" s="14"/>
      <c r="P9" s="14">
        <f>1+P8</f>
        <v>6</v>
      </c>
    </row>
    <row r="10" ht="20.05" customHeight="1">
      <c r="B10" s="28"/>
      <c r="C10" s="13">
        <v>802</v>
      </c>
      <c r="D10" s="14">
        <v>260</v>
      </c>
      <c r="E10" s="14">
        <f>F10-D10-C10</f>
        <v>246</v>
      </c>
      <c r="F10" s="14">
        <v>1308</v>
      </c>
      <c r="G10" s="14">
        <v>-665</v>
      </c>
      <c r="H10" s="14"/>
      <c r="I10" s="14"/>
      <c r="J10" s="14">
        <v>-658</v>
      </c>
      <c r="K10" s="14">
        <f>F10+G10</f>
        <v>643</v>
      </c>
      <c r="L10" s="14">
        <f>AVERAGE(K7:K10)</f>
        <v>588</v>
      </c>
      <c r="M10" s="14"/>
      <c r="N10" s="14">
        <f>-J10+N9</f>
        <v>1707</v>
      </c>
      <c r="O10" s="14"/>
      <c r="P10" s="14">
        <f>1+P9</f>
        <v>7</v>
      </c>
    </row>
    <row r="11" ht="20.05" customHeight="1">
      <c r="B11" s="28"/>
      <c r="C11" s="13">
        <v>752</v>
      </c>
      <c r="D11" s="14">
        <v>323</v>
      </c>
      <c r="E11" s="14">
        <f>F11-D11-C11</f>
        <v>421</v>
      </c>
      <c r="F11" s="14">
        <v>1496</v>
      </c>
      <c r="G11" s="14">
        <v>-402</v>
      </c>
      <c r="H11" s="14"/>
      <c r="I11" s="14"/>
      <c r="J11" s="14">
        <v>-1155</v>
      </c>
      <c r="K11" s="14">
        <f>F11+G11</f>
        <v>1094</v>
      </c>
      <c r="L11" s="14">
        <f>AVERAGE(K8:K11)</f>
        <v>542.5</v>
      </c>
      <c r="M11" s="14"/>
      <c r="N11" s="14">
        <f>-J11+N10</f>
        <v>2862</v>
      </c>
      <c r="O11" s="14"/>
      <c r="P11" s="14">
        <f>1+P10</f>
        <v>8</v>
      </c>
    </row>
    <row r="12" ht="20.05" customHeight="1">
      <c r="B12" s="29">
        <v>2017</v>
      </c>
      <c r="C12" s="13">
        <v>653</v>
      </c>
      <c r="D12" s="14">
        <v>318</v>
      </c>
      <c r="E12" s="14">
        <f>F12-D12-C12</f>
        <v>-475</v>
      </c>
      <c r="F12" s="14">
        <v>496</v>
      </c>
      <c r="G12" s="14">
        <v>-163</v>
      </c>
      <c r="H12" s="14"/>
      <c r="I12" s="14"/>
      <c r="J12" s="14">
        <v>-216</v>
      </c>
      <c r="K12" s="14">
        <f>F12+G12</f>
        <v>333</v>
      </c>
      <c r="L12" s="14">
        <f>AVERAGE(K9:K12)</f>
        <v>636.5</v>
      </c>
      <c r="M12" s="14"/>
      <c r="N12" s="14">
        <f>-J12+N11</f>
        <v>3078</v>
      </c>
      <c r="O12" s="14"/>
      <c r="P12" s="14">
        <f>1+P11</f>
        <v>9</v>
      </c>
    </row>
    <row r="13" ht="20.05" customHeight="1">
      <c r="B13" s="28"/>
      <c r="C13" s="13">
        <v>691</v>
      </c>
      <c r="D13" s="14">
        <v>380</v>
      </c>
      <c r="E13" s="14">
        <f>F13-D13-C13</f>
        <v>96</v>
      </c>
      <c r="F13" s="14">
        <v>1167</v>
      </c>
      <c r="G13" s="14">
        <v>-105</v>
      </c>
      <c r="H13" s="14"/>
      <c r="I13" s="14"/>
      <c r="J13" s="14">
        <v>-521</v>
      </c>
      <c r="K13" s="14">
        <f>F13+G13</f>
        <v>1062</v>
      </c>
      <c r="L13" s="14">
        <f>AVERAGE(K10:K13)</f>
        <v>783</v>
      </c>
      <c r="M13" s="14"/>
      <c r="N13" s="14">
        <f>-J13+N12</f>
        <v>3599</v>
      </c>
      <c r="O13" s="14"/>
      <c r="P13" s="14">
        <f>1+P12</f>
        <v>10</v>
      </c>
    </row>
    <row r="14" ht="20.05" customHeight="1">
      <c r="B14" s="28"/>
      <c r="C14" s="13">
        <v>789</v>
      </c>
      <c r="D14" s="14">
        <v>256</v>
      </c>
      <c r="E14" s="14">
        <f>F14-D14-C14</f>
        <v>48</v>
      </c>
      <c r="F14" s="14">
        <v>1093</v>
      </c>
      <c r="G14" s="14">
        <v>-180</v>
      </c>
      <c r="H14" s="14"/>
      <c r="I14" s="14"/>
      <c r="J14" s="14">
        <v>-1187</v>
      </c>
      <c r="K14" s="14">
        <f>F14+G14</f>
        <v>913</v>
      </c>
      <c r="L14" s="14">
        <f>AVERAGE(K11:K14)</f>
        <v>850.5</v>
      </c>
      <c r="M14" s="14"/>
      <c r="N14" s="14">
        <f>-J14+N13</f>
        <v>4786</v>
      </c>
      <c r="O14" s="14"/>
      <c r="P14" s="14">
        <f>1+P13</f>
        <v>11</v>
      </c>
    </row>
    <row r="15" ht="20.05" customHeight="1">
      <c r="B15" s="28"/>
      <c r="C15" s="13">
        <v>2250</v>
      </c>
      <c r="D15" s="14">
        <v>-459</v>
      </c>
      <c r="E15" s="14">
        <f>F15-D15-C15</f>
        <v>43</v>
      </c>
      <c r="F15" s="14">
        <v>1834</v>
      </c>
      <c r="G15" s="14">
        <v>395</v>
      </c>
      <c r="H15" s="14"/>
      <c r="I15" s="14"/>
      <c r="J15" s="14">
        <v>-1040</v>
      </c>
      <c r="K15" s="14">
        <f>F15+G15</f>
        <v>2229</v>
      </c>
      <c r="L15" s="14">
        <f>AVERAGE(K12:K15)</f>
        <v>1134.25</v>
      </c>
      <c r="M15" s="14"/>
      <c r="N15" s="14">
        <f>-J15+N14</f>
        <v>5826</v>
      </c>
      <c r="O15" s="14"/>
      <c r="P15" s="14">
        <f>1+P14</f>
        <v>12</v>
      </c>
    </row>
    <row r="16" ht="20.05" customHeight="1">
      <c r="B16" s="29">
        <v>2018</v>
      </c>
      <c r="C16" s="13">
        <v>660</v>
      </c>
      <c r="D16" s="14">
        <v>124</v>
      </c>
      <c r="E16" s="14">
        <f>F16-D16-C16</f>
        <v>-329</v>
      </c>
      <c r="F16" s="14">
        <v>455</v>
      </c>
      <c r="G16" s="14">
        <v>-1634</v>
      </c>
      <c r="H16" s="14"/>
      <c r="I16" s="14"/>
      <c r="J16" s="14">
        <v>-373</v>
      </c>
      <c r="K16" s="14">
        <f>F16+G16</f>
        <v>-1179</v>
      </c>
      <c r="L16" s="14">
        <f>AVERAGE(K13:K16)</f>
        <v>756.25</v>
      </c>
      <c r="M16" s="14"/>
      <c r="N16" s="14">
        <f>-J16+N15</f>
        <v>6199</v>
      </c>
      <c r="O16" s="14"/>
      <c r="P16" s="14">
        <f>1+P15</f>
        <v>13</v>
      </c>
    </row>
    <row r="17" ht="20.05" customHeight="1">
      <c r="B17" s="28"/>
      <c r="C17" s="13">
        <v>852</v>
      </c>
      <c r="D17" s="14">
        <v>435</v>
      </c>
      <c r="E17" s="14">
        <f>F17-D17-C17</f>
        <v>-72</v>
      </c>
      <c r="F17" s="14">
        <v>1215</v>
      </c>
      <c r="G17" s="14">
        <v>-458</v>
      </c>
      <c r="H17" s="14"/>
      <c r="I17" s="14"/>
      <c r="J17" s="14">
        <v>-955</v>
      </c>
      <c r="K17" s="14">
        <f>F17+G17</f>
        <v>757</v>
      </c>
      <c r="L17" s="14">
        <f>AVERAGE(K14:K17)</f>
        <v>680</v>
      </c>
      <c r="M17" s="14"/>
      <c r="N17" s="14">
        <f>-J17+N16</f>
        <v>7154</v>
      </c>
      <c r="O17" s="14"/>
      <c r="P17" s="14">
        <f>1+P16</f>
        <v>14</v>
      </c>
    </row>
    <row r="18" ht="20.05" customHeight="1">
      <c r="B18" s="28"/>
      <c r="C18" s="13">
        <v>756</v>
      </c>
      <c r="D18" s="14">
        <v>407</v>
      </c>
      <c r="E18" s="14">
        <f>F18-D18-C18</f>
        <v>7271</v>
      </c>
      <c r="F18" s="14">
        <v>8434</v>
      </c>
      <c r="G18" s="14">
        <v>-665</v>
      </c>
      <c r="H18" s="14"/>
      <c r="I18" s="14"/>
      <c r="J18" s="14">
        <v>-875</v>
      </c>
      <c r="K18" s="14">
        <f>F18+G18</f>
        <v>7769</v>
      </c>
      <c r="L18" s="14">
        <f>AVERAGE(K15:K18)</f>
        <v>2394</v>
      </c>
      <c r="M18" s="14"/>
      <c r="N18" s="14">
        <f>-J18+N17</f>
        <v>8029</v>
      </c>
      <c r="O18" s="14"/>
      <c r="P18" s="14">
        <f>1+P17</f>
        <v>15</v>
      </c>
    </row>
    <row r="19" ht="20.05" customHeight="1">
      <c r="B19" s="28"/>
      <c r="C19" s="13">
        <v>760</v>
      </c>
      <c r="D19" s="14">
        <v>108</v>
      </c>
      <c r="E19" s="14">
        <f>F19-D19-C19</f>
        <v>1511</v>
      </c>
      <c r="F19" s="14">
        <v>2379</v>
      </c>
      <c r="G19" s="14">
        <v>-510</v>
      </c>
      <c r="H19" s="14"/>
      <c r="I19" s="14"/>
      <c r="J19" s="14">
        <v>-5859</v>
      </c>
      <c r="K19" s="14">
        <f>F19+G19</f>
        <v>1869</v>
      </c>
      <c r="L19" s="14">
        <f>AVERAGE(K16:K19)</f>
        <v>2304</v>
      </c>
      <c r="M19" s="14"/>
      <c r="N19" s="14">
        <f>-J19+N18</f>
        <v>13888</v>
      </c>
      <c r="O19" s="14"/>
      <c r="P19" s="14">
        <f>1+P18</f>
        <v>16</v>
      </c>
    </row>
    <row r="20" ht="20.05" customHeight="1">
      <c r="B20" s="29">
        <v>2019</v>
      </c>
      <c r="C20" s="13">
        <v>659</v>
      </c>
      <c r="D20" s="14">
        <v>153</v>
      </c>
      <c r="E20" s="14">
        <f>F20-D20-C20</f>
        <v>-422</v>
      </c>
      <c r="F20" s="14">
        <v>390</v>
      </c>
      <c r="G20" s="14">
        <v>-201</v>
      </c>
      <c r="H20" s="14"/>
      <c r="I20" s="14"/>
      <c r="J20" s="14">
        <v>-2919</v>
      </c>
      <c r="K20" s="14">
        <f>F20+G20</f>
        <v>189</v>
      </c>
      <c r="L20" s="14">
        <f>AVERAGE(K17:K20)</f>
        <v>2646</v>
      </c>
      <c r="M20" s="14"/>
      <c r="N20" s="14">
        <f>-J20+N19</f>
        <v>16807</v>
      </c>
      <c r="O20" s="14"/>
      <c r="P20" s="14">
        <f>1+P19</f>
        <v>17</v>
      </c>
    </row>
    <row r="21" ht="20.05" customHeight="1">
      <c r="B21" s="28"/>
      <c r="C21" s="13">
        <v>1373</v>
      </c>
      <c r="D21" s="14">
        <v>419</v>
      </c>
      <c r="E21" s="14">
        <f>F21-D21-C21</f>
        <v>-622</v>
      </c>
      <c r="F21" s="14">
        <v>1170</v>
      </c>
      <c r="G21" s="14">
        <v>204</v>
      </c>
      <c r="H21" s="14"/>
      <c r="I21" s="14"/>
      <c r="J21" s="14">
        <v>1355</v>
      </c>
      <c r="K21" s="14">
        <f>F21+G21</f>
        <v>1374</v>
      </c>
      <c r="L21" s="14">
        <f>AVERAGE(K18:K21)</f>
        <v>2800.25</v>
      </c>
      <c r="M21" s="14"/>
      <c r="N21" s="14">
        <f>-J21+N20</f>
        <v>15452</v>
      </c>
      <c r="O21" s="14"/>
      <c r="P21" s="14">
        <f>1+P20</f>
        <v>18</v>
      </c>
    </row>
    <row r="22" ht="20.05" customHeight="1">
      <c r="B22" s="28"/>
      <c r="C22" s="13">
        <v>803</v>
      </c>
      <c r="D22" s="14">
        <v>-876</v>
      </c>
      <c r="E22" s="14">
        <f>F22-D22-C22</f>
        <v>1181</v>
      </c>
      <c r="F22" s="14">
        <v>1108</v>
      </c>
      <c r="G22" s="14">
        <v>-504</v>
      </c>
      <c r="H22" s="14"/>
      <c r="I22" s="14"/>
      <c r="J22" s="14">
        <v>-2634</v>
      </c>
      <c r="K22" s="14">
        <f>F22+G22</f>
        <v>604</v>
      </c>
      <c r="L22" s="14">
        <f>AVERAGE(K19:K22)</f>
        <v>1009</v>
      </c>
      <c r="M22" s="14"/>
      <c r="N22" s="14">
        <f>-J22+N21</f>
        <v>18086</v>
      </c>
      <c r="O22" s="14"/>
      <c r="P22" s="14">
        <f>1+P21</f>
        <v>19</v>
      </c>
    </row>
    <row r="23" ht="20.05" customHeight="1">
      <c r="B23" s="28"/>
      <c r="C23" s="13">
        <v>885</v>
      </c>
      <c r="D23" s="14">
        <v>770</v>
      </c>
      <c r="E23" s="14">
        <f>F23-D23-C23</f>
        <v>181</v>
      </c>
      <c r="F23" s="14">
        <v>1836</v>
      </c>
      <c r="G23" s="14">
        <v>-386</v>
      </c>
      <c r="H23" s="14"/>
      <c r="I23" s="14"/>
      <c r="J23" s="14">
        <v>-1123</v>
      </c>
      <c r="K23" s="14">
        <f>F23+G23</f>
        <v>1450</v>
      </c>
      <c r="L23" s="14">
        <f>AVERAGE(K20:K23)</f>
        <v>904.25</v>
      </c>
      <c r="M23" s="14"/>
      <c r="N23" s="14">
        <f>-J23+N22</f>
        <v>19209</v>
      </c>
      <c r="O23" s="14"/>
      <c r="P23" s="14">
        <f>1+P22</f>
        <v>20</v>
      </c>
    </row>
    <row r="24" ht="20.05" customHeight="1">
      <c r="B24" s="29">
        <v>2020</v>
      </c>
      <c r="C24" s="13">
        <v>325</v>
      </c>
      <c r="D24" s="14">
        <v>818</v>
      </c>
      <c r="E24" s="14">
        <f>F24-D24-C24</f>
        <v>-2504</v>
      </c>
      <c r="F24" s="14">
        <v>-1361</v>
      </c>
      <c r="G24" s="14">
        <v>-362</v>
      </c>
      <c r="H24" s="14"/>
      <c r="I24" s="14"/>
      <c r="J24" s="14">
        <v>1273</v>
      </c>
      <c r="K24" s="14">
        <f>F24+G24</f>
        <v>-1723</v>
      </c>
      <c r="L24" s="14">
        <f>AVERAGE(K21:K24)</f>
        <v>426.25</v>
      </c>
      <c r="M24" s="14"/>
      <c r="N24" s="14">
        <f>-J24+N23</f>
        <v>17936</v>
      </c>
      <c r="O24" s="14"/>
      <c r="P24" s="14">
        <f>1+P23</f>
        <v>21</v>
      </c>
    </row>
    <row r="25" ht="20.05" customHeight="1">
      <c r="B25" s="28"/>
      <c r="C25" s="13">
        <v>-678</v>
      </c>
      <c r="D25" s="14">
        <v>819</v>
      </c>
      <c r="E25" s="14">
        <f>F25-D25-C25</f>
        <v>-509</v>
      </c>
      <c r="F25" s="14">
        <v>-368</v>
      </c>
      <c r="G25" s="14">
        <v>-584</v>
      </c>
      <c r="H25" s="14"/>
      <c r="I25" s="14"/>
      <c r="J25" s="14">
        <v>2343</v>
      </c>
      <c r="K25" s="14">
        <f>F25+G25</f>
        <v>-952</v>
      </c>
      <c r="L25" s="14">
        <f>AVERAGE(K22:K25)</f>
        <v>-155.25</v>
      </c>
      <c r="M25" s="14"/>
      <c r="N25" s="14">
        <f>-J25+N24</f>
        <v>15593</v>
      </c>
      <c r="O25" s="14"/>
      <c r="P25" s="14">
        <f>1+P24</f>
        <v>22</v>
      </c>
    </row>
    <row r="26" ht="20.05" customHeight="1">
      <c r="B26" s="28"/>
      <c r="C26" s="13">
        <v>393</v>
      </c>
      <c r="D26" s="14">
        <v>943</v>
      </c>
      <c r="E26" s="14">
        <f>F26-D26-C26</f>
        <v>155</v>
      </c>
      <c r="F26" s="14">
        <v>1491</v>
      </c>
      <c r="G26" s="14">
        <v>-380</v>
      </c>
      <c r="H26" s="14"/>
      <c r="I26" s="14"/>
      <c r="J26" s="14">
        <v>-780</v>
      </c>
      <c r="K26" s="14">
        <f>F26+G26</f>
        <v>1111</v>
      </c>
      <c r="L26" s="14">
        <f>AVERAGE(K23:K26)</f>
        <v>-28.5</v>
      </c>
      <c r="M26" s="14"/>
      <c r="N26" s="14">
        <f>-J26+N25</f>
        <v>16373</v>
      </c>
      <c r="O26" s="14"/>
      <c r="P26" s="14">
        <f>1+P25</f>
        <v>23</v>
      </c>
    </row>
    <row r="27" ht="20.05" customHeight="1">
      <c r="B27" s="28"/>
      <c r="C27" s="13">
        <v>622</v>
      </c>
      <c r="D27" s="14">
        <v>920</v>
      </c>
      <c r="E27" s="14">
        <f>F27-D27-C27</f>
        <v>294</v>
      </c>
      <c r="F27" s="14">
        <v>1836</v>
      </c>
      <c r="G27" s="14">
        <v>-273</v>
      </c>
      <c r="H27" s="14"/>
      <c r="I27" s="14"/>
      <c r="J27" s="14">
        <v>-966</v>
      </c>
      <c r="K27" s="14">
        <f>F27+G27</f>
        <v>1563</v>
      </c>
      <c r="L27" s="14">
        <f>AVERAGE(K24:K27)</f>
        <v>-0.25</v>
      </c>
      <c r="M27" s="14"/>
      <c r="N27" s="14">
        <f>-J27+N26</f>
        <v>17339</v>
      </c>
      <c r="O27" s="14"/>
      <c r="P27" s="14">
        <f>1+P26</f>
        <v>24</v>
      </c>
    </row>
    <row r="28" ht="20.05" customHeight="1">
      <c r="B28" s="29">
        <v>2021</v>
      </c>
      <c r="C28" s="13">
        <v>660</v>
      </c>
      <c r="D28" s="14">
        <v>780</v>
      </c>
      <c r="E28" s="14">
        <f>F28-D28-C28</f>
        <v>-556</v>
      </c>
      <c r="F28" s="14">
        <v>884</v>
      </c>
      <c r="G28" s="14">
        <v>-306</v>
      </c>
      <c r="H28" s="14"/>
      <c r="I28" s="14"/>
      <c r="J28" s="14">
        <v>-1711</v>
      </c>
      <c r="K28" s="14">
        <f>F28+G28</f>
        <v>578</v>
      </c>
      <c r="L28" s="14">
        <f>AVERAGE(K25:K28)</f>
        <v>575</v>
      </c>
      <c r="M28" s="14"/>
      <c r="N28" s="14">
        <f>-J28+N27</f>
        <v>19050</v>
      </c>
      <c r="O28" s="14"/>
      <c r="P28" s="14">
        <f>1+P27</f>
        <v>25</v>
      </c>
    </row>
    <row r="29" ht="20.05" customHeight="1">
      <c r="B29" s="28"/>
      <c r="C29" s="13">
        <v>1154</v>
      </c>
      <c r="D29" s="14">
        <v>452</v>
      </c>
      <c r="E29" s="14">
        <f>F29-D29-C29</f>
        <v>142</v>
      </c>
      <c r="F29" s="14">
        <v>1748</v>
      </c>
      <c r="G29" s="14">
        <v>-407</v>
      </c>
      <c r="H29" s="14"/>
      <c r="I29" s="14"/>
      <c r="J29" s="14">
        <v>-491</v>
      </c>
      <c r="K29" s="14">
        <f>F29+G29</f>
        <v>1341</v>
      </c>
      <c r="L29" s="14">
        <f>AVERAGE(K26:K29)</f>
        <v>1148.25</v>
      </c>
      <c r="M29" s="14"/>
      <c r="N29" s="14">
        <f>-J29+N28</f>
        <v>19541</v>
      </c>
      <c r="O29" s="14"/>
      <c r="P29" s="14">
        <f>1+P28</f>
        <v>26</v>
      </c>
    </row>
    <row r="30" ht="20.05" customHeight="1">
      <c r="B30" s="28"/>
      <c r="C30" s="13">
        <f>4200.3-C29-C28-C27</f>
        <v>1764.3</v>
      </c>
      <c r="D30" s="20">
        <v>138</v>
      </c>
      <c r="E30" s="14">
        <f>F30-D30-C30</f>
        <v>-381.2</v>
      </c>
      <c r="F30" s="14">
        <f>5989.1-F29-F28-F27</f>
        <v>1521.1</v>
      </c>
      <c r="G30" s="14">
        <f>-319.5-G29-G28-G27</f>
        <v>666.5</v>
      </c>
      <c r="H30" s="14"/>
      <c r="I30" s="14"/>
      <c r="J30" s="14">
        <f>-3651-J29-J28-J27</f>
        <v>-483</v>
      </c>
      <c r="K30" s="14">
        <f>F30+G30</f>
        <v>2187.6</v>
      </c>
      <c r="L30" s="14">
        <f>AVERAGE(K27:K30)</f>
        <v>1417.4</v>
      </c>
      <c r="M30" s="14"/>
      <c r="N30" s="14">
        <f>-J30+N29</f>
        <v>20024</v>
      </c>
      <c r="O30" s="14"/>
      <c r="P30" s="14">
        <f>1+P29</f>
        <v>27</v>
      </c>
    </row>
    <row r="31" ht="20.05" customHeight="1">
      <c r="B31" s="28"/>
      <c r="C31" s="13">
        <v>816</v>
      </c>
      <c r="D31" s="14">
        <v>856.4</v>
      </c>
      <c r="E31" s="14">
        <f>F31-D31-C31</f>
        <v>198.6</v>
      </c>
      <c r="F31" s="14">
        <v>1871</v>
      </c>
      <c r="G31" s="14">
        <v>-401</v>
      </c>
      <c r="H31" s="14">
        <f>200</f>
        <v>200</v>
      </c>
      <c r="I31" s="14">
        <f>41.3-576-3520.9-113.6</f>
        <v>-4169.2</v>
      </c>
      <c r="J31" s="14">
        <f>H31+I31</f>
        <v>-3969.2</v>
      </c>
      <c r="K31" s="14">
        <f>F31+G31</f>
        <v>1470</v>
      </c>
      <c r="L31" s="14">
        <f>AVERAGE(K28:K31)</f>
        <v>1394.15</v>
      </c>
      <c r="M31" s="14"/>
      <c r="N31" s="14">
        <f>-J31+N30</f>
        <v>23993.2</v>
      </c>
      <c r="O31" s="14"/>
      <c r="P31" s="14">
        <f>1+P30</f>
        <v>28</v>
      </c>
    </row>
    <row r="32" ht="20.05" customHeight="1">
      <c r="B32" s="29">
        <v>2022</v>
      </c>
      <c r="C32" s="13">
        <v>675</v>
      </c>
      <c r="D32" s="14">
        <v>809.6</v>
      </c>
      <c r="E32" s="14">
        <f>F32-D32-C32</f>
        <v>-1322.6</v>
      </c>
      <c r="F32" s="14">
        <v>162</v>
      </c>
      <c r="G32" s="14">
        <v>-480</v>
      </c>
      <c r="H32" s="14">
        <v>1302</v>
      </c>
      <c r="I32" s="14">
        <v>-911.8</v>
      </c>
      <c r="J32" s="14">
        <v>260.2</v>
      </c>
      <c r="K32" s="14">
        <f>F32+G32</f>
        <v>-318</v>
      </c>
      <c r="L32" s="14">
        <f>AVERAGE(K29:K32)</f>
        <v>1170.15</v>
      </c>
      <c r="M32" s="20">
        <v>1432</v>
      </c>
      <c r="N32" s="14">
        <f>-J32+N31</f>
        <v>23733</v>
      </c>
      <c r="O32" s="14">
        <v>29394</v>
      </c>
      <c r="P32" s="14">
        <f>1+P31</f>
        <v>29</v>
      </c>
    </row>
    <row r="33" ht="20.05" customHeight="1">
      <c r="B33" s="28"/>
      <c r="C33" s="32"/>
      <c r="D33" s="21"/>
      <c r="E33" s="21"/>
      <c r="F33" s="21"/>
      <c r="G33" s="21"/>
      <c r="H33" s="21"/>
      <c r="I33" s="21"/>
      <c r="J33" s="21"/>
      <c r="K33" s="21"/>
      <c r="L33" s="21"/>
      <c r="M33" s="14">
        <f>SUM('Model'!C9:F10)/4</f>
        <v>1250.097160105260</v>
      </c>
      <c r="N33" s="21"/>
      <c r="O33" s="14">
        <f>'Model'!F33</f>
        <v>28733.388640421</v>
      </c>
      <c r="P33" s="14"/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79688" style="33" customWidth="1"/>
    <col min="2" max="2" width="8.86719" style="33" customWidth="1"/>
    <col min="3" max="11" width="10.3359" style="33" customWidth="1"/>
    <col min="12" max="16384" width="16.3516" style="33" customWidth="1"/>
  </cols>
  <sheetData>
    <row r="1" ht="26.3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23</v>
      </c>
      <c r="F3" t="s" s="5">
        <v>24</v>
      </c>
      <c r="G3" t="s" s="5">
        <v>11</v>
      </c>
      <c r="H3" t="s" s="5">
        <v>14</v>
      </c>
      <c r="I3" t="s" s="5">
        <v>52</v>
      </c>
      <c r="J3" t="s" s="5">
        <v>29</v>
      </c>
      <c r="K3" t="s" s="5">
        <v>37</v>
      </c>
    </row>
    <row r="4" ht="20.25" customHeight="1">
      <c r="B4" s="24">
        <v>2015</v>
      </c>
      <c r="C4" s="25">
        <v>1750</v>
      </c>
      <c r="D4" s="26">
        <v>12191</v>
      </c>
      <c r="E4" s="26">
        <f>D4-C4</f>
        <v>10441</v>
      </c>
      <c r="F4" s="26">
        <f>'Cashflow'!D4</f>
        <v>215</v>
      </c>
      <c r="G4" s="26">
        <v>6180</v>
      </c>
      <c r="H4" s="26">
        <v>6011</v>
      </c>
      <c r="I4" s="26">
        <f>G4+H4-C4-E4</f>
        <v>0</v>
      </c>
      <c r="J4" s="26">
        <f>C4-G4</f>
        <v>-4430</v>
      </c>
      <c r="K4" s="26"/>
    </row>
    <row r="5" ht="20.05" customHeight="1">
      <c r="B5" s="28"/>
      <c r="C5" s="13">
        <v>2081</v>
      </c>
      <c r="D5" s="14">
        <v>12869</v>
      </c>
      <c r="E5" s="14">
        <f>D5-C5</f>
        <v>10788</v>
      </c>
      <c r="F5" s="14">
        <f>F4+'Cashflow'!D5</f>
        <v>474</v>
      </c>
      <c r="G5" s="14">
        <v>7011</v>
      </c>
      <c r="H5" s="14">
        <v>5858</v>
      </c>
      <c r="I5" s="14">
        <f>G5+H5-C5-E5</f>
        <v>0</v>
      </c>
      <c r="J5" s="14">
        <f>C5-G5</f>
        <v>-4930</v>
      </c>
      <c r="K5" s="14"/>
    </row>
    <row r="6" ht="20.05" customHeight="1">
      <c r="B6" s="28"/>
      <c r="C6" s="13">
        <v>1530</v>
      </c>
      <c r="D6" s="14">
        <v>12416</v>
      </c>
      <c r="E6" s="14">
        <f>D6-C6</f>
        <v>10886</v>
      </c>
      <c r="F6" s="14">
        <f>F5+'Cashflow'!D6</f>
        <v>816</v>
      </c>
      <c r="G6" s="14">
        <v>6597</v>
      </c>
      <c r="H6" s="14">
        <v>5820</v>
      </c>
      <c r="I6" s="14">
        <f>G6+H6-C6-E6</f>
        <v>1</v>
      </c>
      <c r="J6" s="14">
        <f>C6-G6</f>
        <v>-5067</v>
      </c>
      <c r="K6" s="14"/>
    </row>
    <row r="7" ht="20.05" customHeight="1">
      <c r="B7" s="28"/>
      <c r="C7" s="13">
        <v>2264</v>
      </c>
      <c r="D7" s="14">
        <v>12944</v>
      </c>
      <c r="E7" s="14">
        <f>D7-C7</f>
        <v>10680</v>
      </c>
      <c r="F7" s="14">
        <f>F6+'Cashflow'!D7</f>
        <v>1317</v>
      </c>
      <c r="G7" s="14">
        <v>6961</v>
      </c>
      <c r="H7" s="14">
        <v>5983</v>
      </c>
      <c r="I7" s="14">
        <f>G7+H7-C7-E7</f>
        <v>0</v>
      </c>
      <c r="J7" s="14">
        <f>C7-G7</f>
        <v>-4697</v>
      </c>
      <c r="K7" s="14"/>
    </row>
    <row r="8" ht="20.05" customHeight="1">
      <c r="B8" s="29">
        <v>2016</v>
      </c>
      <c r="C8" s="13">
        <v>1294</v>
      </c>
      <c r="D8" s="14">
        <v>12519</v>
      </c>
      <c r="E8" s="14">
        <f>D8-C8</f>
        <v>11225</v>
      </c>
      <c r="F8" s="14">
        <f>F7+'Cashflow'!D8</f>
        <v>1636</v>
      </c>
      <c r="G8" s="14">
        <v>7423</v>
      </c>
      <c r="H8" s="14">
        <v>5093</v>
      </c>
      <c r="I8" s="14">
        <f>G8+H8-C8-E8</f>
        <v>-3</v>
      </c>
      <c r="J8" s="14">
        <f>C8-G8</f>
        <v>-6129</v>
      </c>
      <c r="K8" s="14"/>
    </row>
    <row r="9" ht="20.05" customHeight="1">
      <c r="B9" s="28"/>
      <c r="C9" s="13">
        <v>2142</v>
      </c>
      <c r="D9" s="14">
        <v>13833</v>
      </c>
      <c r="E9" s="14">
        <f>D9-C9</f>
        <v>11691</v>
      </c>
      <c r="F9" s="14">
        <f>F8+'Cashflow'!D9</f>
        <v>1959</v>
      </c>
      <c r="G9" s="14">
        <v>8109</v>
      </c>
      <c r="H9" s="14">
        <v>5724</v>
      </c>
      <c r="I9" s="14">
        <f>G9+H9-C9-E9</f>
        <v>0</v>
      </c>
      <c r="J9" s="14">
        <f>C9-G9</f>
        <v>-5967</v>
      </c>
      <c r="K9" s="14"/>
    </row>
    <row r="10" ht="20.05" customHeight="1">
      <c r="B10" s="28"/>
      <c r="C10" s="13">
        <v>2129</v>
      </c>
      <c r="D10" s="14">
        <v>14313</v>
      </c>
      <c r="E10" s="14">
        <f>D10-C10</f>
        <v>12184</v>
      </c>
      <c r="F10" s="14">
        <f>F9+'Cashflow'!D10</f>
        <v>2219</v>
      </c>
      <c r="G10" s="14">
        <v>8422</v>
      </c>
      <c r="H10" s="14">
        <v>5891</v>
      </c>
      <c r="I10" s="14">
        <f>G10+H10-C10-E10</f>
        <v>0</v>
      </c>
      <c r="J10" s="14">
        <f>C10-G10</f>
        <v>-6293</v>
      </c>
      <c r="K10" s="14"/>
    </row>
    <row r="11" ht="20.05" customHeight="1">
      <c r="B11" s="28"/>
      <c r="C11" s="13">
        <v>2035</v>
      </c>
      <c r="D11" s="14">
        <v>14017</v>
      </c>
      <c r="E11" s="14">
        <f>D11-C11</f>
        <v>11982</v>
      </c>
      <c r="F11" s="14">
        <f>F10+'Cashflow'!D11</f>
        <v>2542</v>
      </c>
      <c r="G11" s="14">
        <v>8214</v>
      </c>
      <c r="H11" s="14">
        <v>5803</v>
      </c>
      <c r="I11" s="14">
        <f>G11+H11-C11-E11</f>
        <v>0</v>
      </c>
      <c r="J11" s="14">
        <f>C11-G11</f>
        <v>-6179</v>
      </c>
      <c r="K11" s="14"/>
    </row>
    <row r="12" ht="20.05" customHeight="1">
      <c r="B12" s="29">
        <v>2017</v>
      </c>
      <c r="C12" s="13">
        <v>2164</v>
      </c>
      <c r="D12" s="14">
        <v>14228</v>
      </c>
      <c r="E12" s="14">
        <f>D12-C12</f>
        <v>12064</v>
      </c>
      <c r="F12" s="14">
        <f>F11+'Cashflow'!D12</f>
        <v>2860</v>
      </c>
      <c r="G12" s="14">
        <v>8617</v>
      </c>
      <c r="H12" s="14">
        <v>5611</v>
      </c>
      <c r="I12" s="14">
        <f>G12+H12-C12-E12</f>
        <v>0</v>
      </c>
      <c r="J12" s="14">
        <f>C12-G12</f>
        <v>-6453</v>
      </c>
      <c r="K12" s="14"/>
    </row>
    <row r="13" ht="20.05" customHeight="1">
      <c r="B13" s="28"/>
      <c r="C13" s="13">
        <v>2716</v>
      </c>
      <c r="D13" s="14">
        <v>14523</v>
      </c>
      <c r="E13" s="14">
        <f>D13-C13</f>
        <v>11807</v>
      </c>
      <c r="F13" s="14">
        <f>F12+'Cashflow'!D13</f>
        <v>3240</v>
      </c>
      <c r="G13" s="14">
        <v>8673</v>
      </c>
      <c r="H13" s="14">
        <v>5850</v>
      </c>
      <c r="I13" s="14">
        <f>G13+H13-C13-E13</f>
        <v>0</v>
      </c>
      <c r="J13" s="14">
        <f>C13-G13</f>
        <v>-5957</v>
      </c>
      <c r="K13" s="14"/>
    </row>
    <row r="14" ht="20.05" customHeight="1">
      <c r="B14" s="28"/>
      <c r="C14" s="13">
        <v>2462</v>
      </c>
      <c r="D14" s="14">
        <v>14366</v>
      </c>
      <c r="E14" s="14">
        <f>D14-C14</f>
        <v>11904</v>
      </c>
      <c r="F14" s="14">
        <f>F13+'Cashflow'!D14</f>
        <v>3496</v>
      </c>
      <c r="G14" s="14">
        <v>8909</v>
      </c>
      <c r="H14" s="14">
        <v>5457</v>
      </c>
      <c r="I14" s="14">
        <f>G14+H14-C14-E14</f>
        <v>0</v>
      </c>
      <c r="J14" s="14">
        <f>C14-G14</f>
        <v>-6447</v>
      </c>
      <c r="K14" s="14"/>
    </row>
    <row r="15" ht="20.05" customHeight="1">
      <c r="B15" s="28"/>
      <c r="C15" s="13">
        <v>3661</v>
      </c>
      <c r="D15" s="14">
        <v>18519</v>
      </c>
      <c r="E15" s="14">
        <f>D15-C15</f>
        <v>14858</v>
      </c>
      <c r="F15" s="14">
        <f>F14+'Cashflow'!D15</f>
        <v>3037</v>
      </c>
      <c r="G15" s="14">
        <v>12760</v>
      </c>
      <c r="H15" s="14">
        <v>5759</v>
      </c>
      <c r="I15" s="14">
        <f>G15+H15-C15-E15</f>
        <v>0</v>
      </c>
      <c r="J15" s="14">
        <f>C15-G15</f>
        <v>-9099</v>
      </c>
      <c r="K15" s="14"/>
    </row>
    <row r="16" ht="20.05" customHeight="1">
      <c r="B16" s="29">
        <v>2018</v>
      </c>
      <c r="C16" s="13">
        <v>2412</v>
      </c>
      <c r="D16" s="14">
        <v>17554</v>
      </c>
      <c r="E16" s="14">
        <f>D16-C16</f>
        <v>15142</v>
      </c>
      <c r="F16" s="14">
        <f>F15+'Cashflow'!D16</f>
        <v>3161</v>
      </c>
      <c r="G16" s="14">
        <v>12836</v>
      </c>
      <c r="H16" s="14">
        <v>4718</v>
      </c>
      <c r="I16" s="14">
        <f>G16+H16-C16-E16</f>
        <v>0</v>
      </c>
      <c r="J16" s="14">
        <f>C16-G16</f>
        <v>-10424</v>
      </c>
      <c r="K16" s="14"/>
    </row>
    <row r="17" ht="20.05" customHeight="1">
      <c r="B17" s="28"/>
      <c r="C17" s="13">
        <v>1892</v>
      </c>
      <c r="D17" s="14">
        <v>17182</v>
      </c>
      <c r="E17" s="14">
        <f>D17-C17</f>
        <v>15290</v>
      </c>
      <c r="F17" s="14">
        <f>F16+'Cashflow'!D17</f>
        <v>3596</v>
      </c>
      <c r="G17" s="14">
        <v>13185</v>
      </c>
      <c r="H17" s="14">
        <v>3997</v>
      </c>
      <c r="I17" s="14">
        <f>G17+H17-C17-E17</f>
        <v>0</v>
      </c>
      <c r="J17" s="14">
        <f>C17-G17</f>
        <v>-11293</v>
      </c>
      <c r="K17" s="14"/>
    </row>
    <row r="18" ht="20.05" customHeight="1">
      <c r="B18" s="28"/>
      <c r="C18" s="13">
        <v>8756</v>
      </c>
      <c r="D18" s="14">
        <v>24156</v>
      </c>
      <c r="E18" s="14">
        <f>D18-C18</f>
        <v>15400</v>
      </c>
      <c r="F18" s="14">
        <f>F17+'Cashflow'!D18</f>
        <v>4003</v>
      </c>
      <c r="G18" s="14">
        <v>22981</v>
      </c>
      <c r="H18" s="14">
        <v>1176</v>
      </c>
      <c r="I18" s="14">
        <f>G18+H18-C18-E18</f>
        <v>1</v>
      </c>
      <c r="J18" s="14">
        <f>C18-G18</f>
        <v>-14225</v>
      </c>
      <c r="K18" s="14"/>
    </row>
    <row r="19" ht="20.05" customHeight="1">
      <c r="B19" s="28"/>
      <c r="C19" s="13">
        <v>4762</v>
      </c>
      <c r="D19" s="14">
        <v>19981</v>
      </c>
      <c r="E19" s="14">
        <f>D19-C19</f>
        <v>15219</v>
      </c>
      <c r="F19" s="14">
        <f>F18+'Cashflow'!D19</f>
        <v>4111</v>
      </c>
      <c r="G19" s="14">
        <v>22860</v>
      </c>
      <c r="H19" s="14">
        <v>-2879</v>
      </c>
      <c r="I19" s="14">
        <f>G19+H19-C19-E19</f>
        <v>0</v>
      </c>
      <c r="J19" s="14">
        <f>C19-G19</f>
        <v>-18098</v>
      </c>
      <c r="K19" s="14"/>
    </row>
    <row r="20" ht="20.05" customHeight="1">
      <c r="B20" s="29">
        <v>2019</v>
      </c>
      <c r="C20" s="13">
        <v>2055</v>
      </c>
      <c r="D20" s="14">
        <v>17642</v>
      </c>
      <c r="E20" s="14">
        <f>D20-C20</f>
        <v>15587</v>
      </c>
      <c r="F20" s="14">
        <f>F19+'Cashflow'!D20</f>
        <v>4264</v>
      </c>
      <c r="G20" s="14">
        <v>22677</v>
      </c>
      <c r="H20" s="14">
        <v>-5035</v>
      </c>
      <c r="I20" s="14">
        <f>G20+H20-C20-E20</f>
        <v>0</v>
      </c>
      <c r="J20" s="14">
        <f>C20-G20</f>
        <v>-20622</v>
      </c>
      <c r="K20" s="14"/>
    </row>
    <row r="21" ht="20.05" customHeight="1">
      <c r="B21" s="28"/>
      <c r="C21" s="13">
        <v>4763</v>
      </c>
      <c r="D21" s="14">
        <v>20894</v>
      </c>
      <c r="E21" s="14">
        <f>D21-C21</f>
        <v>16131</v>
      </c>
      <c r="F21" s="14">
        <f>F20+'Cashflow'!D21</f>
        <v>4683</v>
      </c>
      <c r="G21" s="14">
        <v>25213</v>
      </c>
      <c r="H21" s="14">
        <v>-4319</v>
      </c>
      <c r="I21" s="14">
        <f>G21+H21-C21-E21</f>
        <v>0</v>
      </c>
      <c r="J21" s="14">
        <f>C21-G21</f>
        <v>-20450</v>
      </c>
      <c r="K21" s="14"/>
    </row>
    <row r="22" ht="20.05" customHeight="1">
      <c r="B22" s="28"/>
      <c r="C22" s="13">
        <v>2687</v>
      </c>
      <c r="D22" s="14">
        <v>19220</v>
      </c>
      <c r="E22" s="14">
        <f>D22-C22</f>
        <v>16533</v>
      </c>
      <c r="F22" s="14">
        <f>F21+'Cashflow'!D22</f>
        <v>3807</v>
      </c>
      <c r="G22" s="14">
        <v>25451</v>
      </c>
      <c r="H22" s="14">
        <v>-6231</v>
      </c>
      <c r="I22" s="14">
        <f>G22+H22-C22-E22</f>
        <v>0</v>
      </c>
      <c r="J22" s="14">
        <f>C22-G22</f>
        <v>-22764</v>
      </c>
      <c r="K22" s="14"/>
    </row>
    <row r="23" ht="20.05" customHeight="1">
      <c r="B23" s="28"/>
      <c r="C23" s="13">
        <v>3041</v>
      </c>
      <c r="D23" s="14">
        <v>27731</v>
      </c>
      <c r="E23" s="14">
        <f>D23-C23</f>
        <v>24690</v>
      </c>
      <c r="F23" s="14">
        <f>F22+'Cashflow'!D23</f>
        <v>4577</v>
      </c>
      <c r="G23" s="14">
        <v>34490</v>
      </c>
      <c r="H23" s="14">
        <v>-6759</v>
      </c>
      <c r="I23" s="14">
        <f>G23+H23-C23-E23</f>
        <v>0</v>
      </c>
      <c r="J23" s="14">
        <f>C23-G23</f>
        <v>-31449</v>
      </c>
      <c r="K23" s="14"/>
    </row>
    <row r="24" ht="20.05" customHeight="1">
      <c r="B24" s="29">
        <v>2020</v>
      </c>
      <c r="C24" s="13">
        <v>2572</v>
      </c>
      <c r="D24" s="14">
        <v>27479</v>
      </c>
      <c r="E24" s="14">
        <f>D24-C24</f>
        <v>24907</v>
      </c>
      <c r="F24" s="14">
        <f>F23+'Cashflow'!D24</f>
        <v>5395</v>
      </c>
      <c r="G24" s="14">
        <v>35012</v>
      </c>
      <c r="H24" s="14">
        <v>-7533</v>
      </c>
      <c r="I24" s="14">
        <f>G24+H24-C24-E24</f>
        <v>0</v>
      </c>
      <c r="J24" s="14">
        <f>C24-G24</f>
        <v>-32440</v>
      </c>
      <c r="K24" s="14"/>
    </row>
    <row r="25" ht="20.05" customHeight="1">
      <c r="B25" s="28"/>
      <c r="C25" s="13">
        <v>3966</v>
      </c>
      <c r="D25" s="14">
        <v>29141</v>
      </c>
      <c r="E25" s="14">
        <f>D25-C25</f>
        <v>25175</v>
      </c>
      <c r="F25" s="14">
        <f>F24+'Cashflow'!D25</f>
        <v>6214</v>
      </c>
      <c r="G25" s="14">
        <v>37765</v>
      </c>
      <c r="H25" s="14">
        <v>-8624</v>
      </c>
      <c r="I25" s="14">
        <f>G25+H25-C25-E25</f>
        <v>0</v>
      </c>
      <c r="J25" s="14">
        <f>C25-G25</f>
        <v>-33799</v>
      </c>
      <c r="K25" s="14"/>
    </row>
    <row r="26" ht="20.05" customHeight="1">
      <c r="B26" s="28"/>
      <c r="C26" s="13">
        <v>4351</v>
      </c>
      <c r="D26" s="14">
        <v>29375</v>
      </c>
      <c r="E26" s="14">
        <f>D26-C26</f>
        <v>25024</v>
      </c>
      <c r="F26" s="14">
        <f>F25+'Cashflow'!D26</f>
        <v>7157</v>
      </c>
      <c r="G26" s="14">
        <v>37174</v>
      </c>
      <c r="H26" s="14">
        <v>-7799</v>
      </c>
      <c r="I26" s="14">
        <f>G26+H26-C26-E26</f>
        <v>0</v>
      </c>
      <c r="J26" s="14">
        <f>C26-G26</f>
        <v>-32823</v>
      </c>
      <c r="K26" s="14"/>
    </row>
    <row r="27" ht="20.05" customHeight="1">
      <c r="B27" s="28"/>
      <c r="C27" s="13">
        <v>5021</v>
      </c>
      <c r="D27" s="14">
        <v>29968</v>
      </c>
      <c r="E27" s="14">
        <f>D27-C27</f>
        <v>24947</v>
      </c>
      <c r="F27" s="14">
        <f>F26+'Cashflow'!D27</f>
        <v>8077</v>
      </c>
      <c r="G27" s="14">
        <v>37872</v>
      </c>
      <c r="H27" s="14">
        <v>-7904</v>
      </c>
      <c r="I27" s="14">
        <f>G27+H27-C27-E27</f>
        <v>0</v>
      </c>
      <c r="J27" s="14">
        <f>C27-G27</f>
        <v>-32851</v>
      </c>
      <c r="K27" s="20"/>
    </row>
    <row r="28" ht="20.05" customHeight="1">
      <c r="B28" s="29">
        <v>2021</v>
      </c>
      <c r="C28" s="13">
        <v>3881</v>
      </c>
      <c r="D28" s="14">
        <v>28372</v>
      </c>
      <c r="E28" s="14">
        <f>D28-C28</f>
        <v>24491</v>
      </c>
      <c r="F28" s="14">
        <f>F27+'Cashflow'!D28</f>
        <v>8857</v>
      </c>
      <c r="G28" s="14">
        <v>36020</v>
      </c>
      <c r="H28" s="14">
        <v>-7648</v>
      </c>
      <c r="I28" s="14">
        <f>G28+H28-C28-E28</f>
        <v>0</v>
      </c>
      <c r="J28" s="14">
        <f>C28-G28</f>
        <v>-32139</v>
      </c>
      <c r="K28" s="14"/>
    </row>
    <row r="29" ht="20.05" customHeight="1">
      <c r="B29" s="28"/>
      <c r="C29" s="13">
        <v>4753</v>
      </c>
      <c r="D29" s="14">
        <v>29477</v>
      </c>
      <c r="E29" s="14">
        <f>D29-C29</f>
        <v>24724</v>
      </c>
      <c r="F29" s="14">
        <f>F28+'Cashflow'!D29</f>
        <v>9309</v>
      </c>
      <c r="G29" s="14">
        <v>36271</v>
      </c>
      <c r="H29" s="14">
        <v>-6794</v>
      </c>
      <c r="I29" s="14">
        <f>G29+H29-C29-E29</f>
        <v>0</v>
      </c>
      <c r="J29" s="14">
        <f>C29-G29</f>
        <v>-31518</v>
      </c>
      <c r="K29" s="14"/>
    </row>
    <row r="30" ht="20.05" customHeight="1">
      <c r="B30" s="28"/>
      <c r="C30" s="13">
        <v>6455.7</v>
      </c>
      <c r="D30" s="14">
        <v>31392.6</v>
      </c>
      <c r="E30" s="14">
        <f>D30-C30</f>
        <v>24936.9</v>
      </c>
      <c r="F30" s="14">
        <f>F29+'Cashflow'!D30</f>
        <v>9447</v>
      </c>
      <c r="G30" s="14">
        <v>36707.1</v>
      </c>
      <c r="H30" s="14">
        <v>-5314.5</v>
      </c>
      <c r="I30" s="14">
        <f>G30+H30-C30-E30</f>
        <v>0</v>
      </c>
      <c r="J30" s="14">
        <f>C30-G30</f>
        <v>-30251.4</v>
      </c>
      <c r="K30" s="14"/>
    </row>
    <row r="31" ht="20.05" customHeight="1">
      <c r="B31" s="28"/>
      <c r="C31" s="13">
        <v>3969.4</v>
      </c>
      <c r="D31" s="14">
        <v>28833.9</v>
      </c>
      <c r="E31" s="14">
        <f>D31-C31</f>
        <v>24864.5</v>
      </c>
      <c r="F31" s="14">
        <f>F30+'Cashflow'!D31</f>
        <v>10303.4</v>
      </c>
      <c r="G31" s="14">
        <v>37284.2</v>
      </c>
      <c r="H31" s="14">
        <f>D31-G31</f>
        <v>-8450.299999999999</v>
      </c>
      <c r="I31" s="14">
        <f>G31+H31-C31-E31</f>
        <v>0</v>
      </c>
      <c r="J31" s="14">
        <f>C31-G31</f>
        <v>-33314.8</v>
      </c>
      <c r="K31" s="14"/>
    </row>
    <row r="32" ht="20.05" customHeight="1">
      <c r="B32" s="29">
        <v>2025</v>
      </c>
      <c r="C32" s="13">
        <f>C31+'Cashflow'!F33+'Cashflow'!G32+'Cashflow'!J32</f>
        <v>3749.6</v>
      </c>
      <c r="D32" s="14">
        <v>29022</v>
      </c>
      <c r="E32" s="14">
        <f>D32-C32</f>
        <v>25272.4</v>
      </c>
      <c r="F32" s="14">
        <f>F31+'Cashflow'!D33</f>
        <v>10303.4</v>
      </c>
      <c r="G32" s="14">
        <v>37783</v>
      </c>
      <c r="H32" s="14">
        <f>D32-G32</f>
        <v>-8761</v>
      </c>
      <c r="I32" s="14">
        <f>G32+H32-C32-E32</f>
        <v>0</v>
      </c>
      <c r="J32" s="14">
        <f>C32-G32</f>
        <v>-34033.4</v>
      </c>
      <c r="K32" s="14">
        <v>-30469.0997398335</v>
      </c>
    </row>
    <row r="33" ht="20.05" customHeight="1">
      <c r="B33" s="28"/>
      <c r="C33" s="13"/>
      <c r="D33" s="14"/>
      <c r="E33" s="14"/>
      <c r="F33" s="14"/>
      <c r="G33" s="14"/>
      <c r="H33" s="14"/>
      <c r="I33" s="14"/>
      <c r="J33" s="14"/>
      <c r="K33" s="14">
        <f>'Model'!F31</f>
        <v>-30874.0056797895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1641" style="34" customWidth="1"/>
    <col min="2" max="2" width="10.0156" style="34" customWidth="1"/>
    <col min="3" max="3" width="10.2656" style="34" customWidth="1"/>
    <col min="4" max="5" width="13.1484" style="34" customWidth="1"/>
    <col min="6" max="16384" width="16.3516" style="34" customWidth="1"/>
  </cols>
  <sheetData>
    <row r="1" ht="38.95" customHeight="1"/>
    <row r="2" ht="27.65" customHeight="1">
      <c r="B2" t="s" s="2">
        <v>53</v>
      </c>
      <c r="C2" s="2"/>
      <c r="D2" s="2"/>
      <c r="E2" s="2"/>
    </row>
    <row r="3" ht="20.25" customHeight="1">
      <c r="B3" s="4"/>
      <c r="C3" t="s" s="35">
        <v>54</v>
      </c>
      <c r="D3" t="s" s="35">
        <v>40</v>
      </c>
      <c r="E3" t="s" s="35">
        <v>55</v>
      </c>
    </row>
    <row r="4" ht="20.25" customHeight="1">
      <c r="B4" s="24">
        <v>2018</v>
      </c>
      <c r="C4" s="36">
        <v>54.966454</v>
      </c>
      <c r="D4" s="8"/>
      <c r="E4" s="8"/>
    </row>
    <row r="5" ht="20.05" customHeight="1">
      <c r="B5" s="28"/>
      <c r="C5" s="19">
        <v>46.625534</v>
      </c>
      <c r="D5" s="21"/>
      <c r="E5" s="21"/>
    </row>
    <row r="6" ht="20.05" customHeight="1">
      <c r="B6" s="28"/>
      <c r="C6" s="19">
        <v>54.629395</v>
      </c>
      <c r="D6" s="21"/>
      <c r="E6" s="21"/>
    </row>
    <row r="7" ht="20.05" customHeight="1">
      <c r="B7" s="28"/>
      <c r="C7" s="19">
        <v>62.227695</v>
      </c>
      <c r="D7" s="21"/>
      <c r="E7" s="21"/>
    </row>
    <row r="8" ht="20.05" customHeight="1">
      <c r="B8" s="29">
        <v>2019</v>
      </c>
      <c r="C8" s="19">
        <v>72.207283</v>
      </c>
      <c r="D8" s="21"/>
      <c r="E8" s="21"/>
    </row>
    <row r="9" ht="20.05" customHeight="1">
      <c r="B9" s="28"/>
      <c r="C9" s="19">
        <v>81.80278</v>
      </c>
      <c r="D9" s="21"/>
      <c r="E9" s="21"/>
    </row>
    <row r="10" ht="20.05" customHeight="1">
      <c r="B10" s="28"/>
      <c r="C10" s="19">
        <v>86.60881000000001</v>
      </c>
      <c r="D10" s="21"/>
      <c r="E10" s="21"/>
    </row>
    <row r="11" ht="20.05" customHeight="1">
      <c r="B11" s="28"/>
      <c r="C11" s="19">
        <v>86.549553</v>
      </c>
      <c r="D11" s="21"/>
      <c r="E11" s="21"/>
    </row>
    <row r="12" ht="20.05" customHeight="1">
      <c r="B12" s="29">
        <v>2020</v>
      </c>
      <c r="C12" s="13">
        <v>64.71173899999999</v>
      </c>
      <c r="D12" s="21"/>
      <c r="E12" s="21"/>
    </row>
    <row r="13" ht="20.05" customHeight="1">
      <c r="B13" s="28"/>
      <c r="C13" s="13">
        <v>72.84833500000001</v>
      </c>
      <c r="D13" s="21"/>
      <c r="E13" s="21"/>
    </row>
    <row r="14" ht="20.05" customHeight="1">
      <c r="B14" s="28"/>
      <c r="C14" s="13">
        <v>85.516739</v>
      </c>
      <c r="D14" s="21"/>
      <c r="E14" s="21"/>
    </row>
    <row r="15" ht="20.05" customHeight="1">
      <c r="B15" s="28"/>
      <c r="C15" s="13">
        <v>106.980003</v>
      </c>
      <c r="D15" s="21"/>
      <c r="E15" s="21"/>
    </row>
    <row r="16" ht="20.05" customHeight="1">
      <c r="B16" s="29">
        <v>2021</v>
      </c>
      <c r="C16" s="19">
        <v>108.83696</v>
      </c>
      <c r="D16" s="21"/>
      <c r="E16" s="21"/>
    </row>
    <row r="17" ht="20.05" customHeight="1">
      <c r="B17" s="28"/>
      <c r="C17" s="19">
        <v>113.41</v>
      </c>
      <c r="D17" s="21"/>
      <c r="E17" s="21"/>
    </row>
    <row r="18" ht="20.05" customHeight="1">
      <c r="B18" s="28"/>
      <c r="C18" s="19">
        <v>112.92</v>
      </c>
      <c r="D18" s="21"/>
      <c r="E18" s="21"/>
    </row>
    <row r="19" ht="20.05" customHeight="1">
      <c r="B19" s="28"/>
      <c r="C19" s="19">
        <v>116.97</v>
      </c>
      <c r="D19" s="21"/>
      <c r="E19" s="21"/>
    </row>
    <row r="20" ht="20.05" customHeight="1">
      <c r="B20" s="29">
        <v>2022</v>
      </c>
      <c r="C20" s="19">
        <v>90.97</v>
      </c>
      <c r="D20" s="20">
        <v>139.563568896358</v>
      </c>
      <c r="E20" s="21"/>
    </row>
    <row r="21" ht="20.05" customHeight="1">
      <c r="B21" s="28"/>
      <c r="C21" s="19">
        <v>74.33</v>
      </c>
      <c r="D21" s="20">
        <v>95.0817715286116</v>
      </c>
      <c r="E21" s="21"/>
    </row>
    <row r="22" ht="20.05" customHeight="1">
      <c r="B22" s="28"/>
      <c r="C22" s="37"/>
      <c r="D22" s="20">
        <f>'Model'!F44</f>
        <v>107.176597206938</v>
      </c>
      <c r="E22" s="2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