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1.xml" ContentType="application/vnd.openxmlformats-officedocument.drawing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Model" sheetId="1" r:id="rId4"/>
    <sheet name="Sales" sheetId="2" r:id="rId5"/>
    <sheet name="Cashflow " sheetId="3" r:id="rId6"/>
    <sheet name="Balance sheet" sheetId="4" r:id="rId7"/>
    <sheet name="Share price " sheetId="5" r:id="rId8"/>
  </sheets>
</workbook>
</file>

<file path=xl/sharedStrings.xml><?xml version="1.0" encoding="utf-8"?>
<sst xmlns="http://schemas.openxmlformats.org/spreadsheetml/2006/main" uniqueCount="58">
  <si>
    <t>Financial model</t>
  </si>
  <si>
    <t>Rpbn</t>
  </si>
  <si>
    <t>4Q 2022</t>
  </si>
  <si>
    <t xml:space="preserve">Cashflow </t>
  </si>
  <si>
    <t xml:space="preserve">Growth </t>
  </si>
  <si>
    <t>Sales</t>
  </si>
  <si>
    <t xml:space="preserve">Cost ratio </t>
  </si>
  <si>
    <t>Cash costs</t>
  </si>
  <si>
    <t xml:space="preserve">Operating </t>
  </si>
  <si>
    <t>Investment</t>
  </si>
  <si>
    <t>Finance</t>
  </si>
  <si>
    <t xml:space="preserve">Liabilities </t>
  </si>
  <si>
    <t xml:space="preserve">Revolver </t>
  </si>
  <si>
    <t>Payout</t>
  </si>
  <si>
    <t xml:space="preserve">Equity </t>
  </si>
  <si>
    <t xml:space="preserve">Before revolver </t>
  </si>
  <si>
    <t xml:space="preserve">Beginning </t>
  </si>
  <si>
    <t xml:space="preserve">Change </t>
  </si>
  <si>
    <t xml:space="preserve">Ending </t>
  </si>
  <si>
    <t xml:space="preserve">Profit </t>
  </si>
  <si>
    <t>Non cash costs</t>
  </si>
  <si>
    <t>Balance sheet</t>
  </si>
  <si>
    <t>Other assets</t>
  </si>
  <si>
    <t xml:space="preserve">Depreciation </t>
  </si>
  <si>
    <t>Net other assets</t>
  </si>
  <si>
    <t xml:space="preserve">Check </t>
  </si>
  <si>
    <t xml:space="preserve">Net cash </t>
  </si>
  <si>
    <t xml:space="preserve">Valuation </t>
  </si>
  <si>
    <t xml:space="preserve">Capital </t>
  </si>
  <si>
    <t xml:space="preserve">Current value </t>
  </si>
  <si>
    <t>P/assets</t>
  </si>
  <si>
    <t>Yield</t>
  </si>
  <si>
    <t>Cashflow</t>
  </si>
  <si>
    <t xml:space="preserve">Payback </t>
  </si>
  <si>
    <t xml:space="preserve">Forecast </t>
  </si>
  <si>
    <t xml:space="preserve">Value </t>
  </si>
  <si>
    <t>Shares</t>
  </si>
  <si>
    <t>Target</t>
  </si>
  <si>
    <t xml:space="preserve">Current </t>
  </si>
  <si>
    <t xml:space="preserve">V target </t>
  </si>
  <si>
    <t xml:space="preserve">12 month growth </t>
  </si>
  <si>
    <t xml:space="preserve">Sales forecast </t>
  </si>
  <si>
    <t>Profit</t>
  </si>
  <si>
    <t xml:space="preserve">Sales growth </t>
  </si>
  <si>
    <t>Receipts</t>
  </si>
  <si>
    <t>Leases</t>
  </si>
  <si>
    <t>Liabilities</t>
  </si>
  <si>
    <t>Equity</t>
  </si>
  <si>
    <t xml:space="preserve">Free cashflow </t>
  </si>
  <si>
    <t>Capital</t>
  </si>
  <si>
    <t>Rp bn</t>
  </si>
  <si>
    <t>Cash</t>
  </si>
  <si>
    <t>Assets</t>
  </si>
  <si>
    <t>Check</t>
  </si>
  <si>
    <t>Share price</t>
  </si>
  <si>
    <t xml:space="preserve">Volume </t>
  </si>
  <si>
    <t>SAME</t>
  </si>
  <si>
    <t>Previous</t>
  </si>
</sst>
</file>

<file path=xl/styles.xml><?xml version="1.0" encoding="utf-8"?>
<styleSheet xmlns="http://schemas.openxmlformats.org/spreadsheetml/2006/main">
  <numFmts count="6">
    <numFmt numFmtId="0" formatCode="General"/>
    <numFmt numFmtId="59" formatCode="#,##0.0"/>
    <numFmt numFmtId="60" formatCode="#,##0%"/>
    <numFmt numFmtId="61" formatCode="0.0%"/>
    <numFmt numFmtId="62" formatCode="0.0_);[Red]\(0.0\)"/>
    <numFmt numFmtId="63" formatCode="0%_);[Red]\(0%\)"/>
  </numFmts>
  <fonts count="5">
    <font>
      <sz val="10"/>
      <color indexed="8"/>
      <name val="Helvetica Neue"/>
    </font>
    <font>
      <sz val="12"/>
      <color indexed="8"/>
      <name val="Helvetica Neue"/>
    </font>
    <font>
      <b val="1"/>
      <sz val="10"/>
      <color indexed="8"/>
      <name val="Helvetica Neue"/>
    </font>
    <font>
      <sz val="10"/>
      <color indexed="13"/>
      <name val="Arial"/>
    </font>
    <font>
      <sz val="10"/>
      <color indexed="13"/>
      <name val="Helvetica Neue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4"/>
        <bgColor auto="1"/>
      </patternFill>
    </fill>
  </fills>
  <borders count="10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47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1" applyNumberFormat="0" applyFont="1" applyFill="0" applyBorder="0" applyAlignment="1" applyProtection="0">
      <alignment horizontal="center" vertical="center"/>
    </xf>
    <xf numFmtId="49" fontId="2" fillId="2" borderId="1" applyNumberFormat="1" applyFont="1" applyFill="1" applyBorder="1" applyAlignment="1" applyProtection="0">
      <alignment horizontal="left" vertical="top" wrapText="1"/>
    </xf>
    <xf numFmtId="0" fontId="2" fillId="2" borderId="1" applyNumberFormat="0" applyFont="1" applyFill="1" applyBorder="1" applyAlignment="1" applyProtection="0">
      <alignment horizontal="right" vertical="top" wrapText="1"/>
    </xf>
    <xf numFmtId="0" fontId="2" fillId="2" borderId="1" applyNumberFormat="0" applyFont="1" applyFill="1" applyBorder="1" applyAlignment="1" applyProtection="0">
      <alignment vertical="top" wrapText="1"/>
    </xf>
    <xf numFmtId="49" fontId="2" fillId="2" borderId="1" applyNumberFormat="1" applyFont="1" applyFill="1" applyBorder="1" applyAlignment="1" applyProtection="0">
      <alignment horizontal="right" vertical="top" wrapText="1"/>
    </xf>
    <xf numFmtId="49" fontId="2" fillId="3" borderId="2" applyNumberFormat="1" applyFont="1" applyFill="1" applyBorder="1" applyAlignment="1" applyProtection="0">
      <alignment vertical="top" wrapText="1"/>
    </xf>
    <xf numFmtId="9" fontId="0" borderId="3" applyNumberFormat="1" applyFont="1" applyFill="0" applyBorder="1" applyAlignment="1" applyProtection="0">
      <alignment vertical="top" wrapText="1"/>
    </xf>
    <xf numFmtId="0" fontId="0" borderId="4" applyNumberFormat="0" applyFont="1" applyFill="0" applyBorder="1" applyAlignment="1" applyProtection="0">
      <alignment vertical="top" wrapText="1"/>
    </xf>
    <xf numFmtId="9" fontId="0" borderId="4" applyNumberFormat="1" applyFont="1" applyFill="0" applyBorder="1" applyAlignment="1" applyProtection="0">
      <alignment vertical="top" wrapText="1"/>
    </xf>
    <xf numFmtId="49" fontId="0" fillId="3" borderId="5" applyNumberFormat="1" applyFont="1" applyFill="1" applyBorder="1" applyAlignment="1" applyProtection="0">
      <alignment vertical="top" wrapText="1"/>
    </xf>
    <xf numFmtId="9" fontId="0" borderId="6" applyNumberFormat="1" applyFont="1" applyFill="0" applyBorder="1" applyAlignment="1" applyProtection="0">
      <alignment vertical="top" wrapText="1"/>
    </xf>
    <xf numFmtId="9" fontId="0" borderId="7" applyNumberFormat="1" applyFont="1" applyFill="0" applyBorder="1" applyAlignment="1" applyProtection="0">
      <alignment vertical="top" wrapText="1"/>
    </xf>
    <xf numFmtId="38" fontId="0" borderId="6" applyNumberFormat="1" applyFont="1" applyFill="0" applyBorder="1" applyAlignment="1" applyProtection="0">
      <alignment vertical="top" wrapText="1"/>
    </xf>
    <xf numFmtId="38" fontId="0" borderId="7" applyNumberFormat="1" applyFont="1" applyFill="0" applyBorder="1" applyAlignment="1" applyProtection="0">
      <alignment vertical="top" wrapText="1"/>
    </xf>
    <xf numFmtId="3" fontId="0" borderId="6" applyNumberFormat="1" applyFont="1" applyFill="0" applyBorder="1" applyAlignment="1" applyProtection="0">
      <alignment vertical="top" wrapText="1"/>
    </xf>
    <xf numFmtId="3" fontId="0" borderId="7" applyNumberFormat="1" applyFont="1" applyFill="0" applyBorder="1" applyAlignment="1" applyProtection="0">
      <alignment vertical="top" wrapText="1"/>
    </xf>
    <xf numFmtId="59" fontId="0" borderId="6" applyNumberFormat="1" applyFont="1" applyFill="0" applyBorder="1" applyAlignment="1" applyProtection="0">
      <alignment vertical="top" wrapText="1"/>
    </xf>
    <xf numFmtId="49" fontId="2" fillId="3" borderId="5" applyNumberFormat="1" applyFont="1" applyFill="1" applyBorder="1" applyAlignment="1" applyProtection="0">
      <alignment vertical="top" wrapText="1"/>
    </xf>
    <xf numFmtId="0" fontId="0" borderId="7" applyNumberFormat="0" applyFont="1" applyFill="0" applyBorder="1" applyAlignment="1" applyProtection="0">
      <alignment vertical="top" wrapText="1"/>
    </xf>
    <xf numFmtId="59" fontId="0" borderId="7" applyNumberFormat="1" applyFont="1" applyFill="0" applyBorder="1" applyAlignment="1" applyProtection="0">
      <alignment vertical="top" wrapText="1"/>
    </xf>
    <xf numFmtId="60" fontId="0" borderId="7" applyNumberFormat="1" applyFont="1" applyFill="0" applyBorder="1" applyAlignment="1" applyProtection="0">
      <alignment vertical="top" wrapText="1"/>
    </xf>
    <xf numFmtId="1" fontId="3" borderId="7" applyNumberFormat="1" applyFont="1" applyFill="0" applyBorder="1" applyAlignment="1" applyProtection="0">
      <alignment horizontal="right" vertical="center" wrapText="1" readingOrder="1"/>
    </xf>
    <xf numFmtId="0" fontId="0" applyNumberFormat="1" applyFont="1" applyFill="0" applyBorder="0" applyAlignment="1" applyProtection="0">
      <alignment vertical="top" wrapText="1"/>
    </xf>
    <xf numFmtId="0" fontId="2" fillId="4" borderId="2" applyNumberFormat="1" applyFont="1" applyFill="1" applyBorder="1" applyAlignment="1" applyProtection="0">
      <alignment vertical="top" wrapText="1"/>
    </xf>
    <xf numFmtId="3" fontId="0" borderId="3" applyNumberFormat="1" applyFont="1" applyFill="0" applyBorder="1" applyAlignment="1" applyProtection="0">
      <alignment vertical="top" wrapText="1"/>
    </xf>
    <xf numFmtId="3" fontId="0" borderId="4" applyNumberFormat="1" applyFont="1" applyFill="0" applyBorder="1" applyAlignment="1" applyProtection="0">
      <alignment vertical="top" wrapText="1"/>
    </xf>
    <xf numFmtId="61" fontId="0" borderId="4" applyNumberFormat="1" applyFont="1" applyFill="0" applyBorder="1" applyAlignment="1" applyProtection="0">
      <alignment vertical="top" wrapText="1"/>
    </xf>
    <xf numFmtId="0" fontId="2" fillId="4" borderId="5" applyNumberFormat="0" applyFont="1" applyFill="1" applyBorder="1" applyAlignment="1" applyProtection="0">
      <alignment vertical="top" wrapText="1"/>
    </xf>
    <xf numFmtId="0" fontId="2" fillId="4" borderId="5" applyNumberFormat="1" applyFont="1" applyFill="1" applyBorder="1" applyAlignment="1" applyProtection="0">
      <alignment vertical="top" wrapText="1"/>
    </xf>
    <xf numFmtId="0" fontId="0" borderId="7" applyNumberFormat="1" applyFont="1" applyFill="0" applyBorder="1" applyAlignment="1" applyProtection="0">
      <alignment vertical="top" wrapText="1"/>
    </xf>
    <xf numFmtId="62" fontId="0" borderId="7" applyNumberFormat="1" applyFont="1" applyFill="0" applyBorder="1" applyAlignment="1" applyProtection="0">
      <alignment vertical="top" wrapText="1"/>
    </xf>
    <xf numFmtId="63" fontId="0" borderId="7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1" fontId="0" borderId="4" applyNumberFormat="1" applyFont="1" applyFill="0" applyBorder="1" applyAlignment="1" applyProtection="0">
      <alignment vertical="top" wrapText="1"/>
    </xf>
    <xf numFmtId="1" fontId="0" borderId="7" applyNumberFormat="1" applyFont="1" applyFill="0" applyBorder="1" applyAlignment="1" applyProtection="0">
      <alignment vertical="top" wrapText="1"/>
    </xf>
    <xf numFmtId="1" fontId="0" borderId="6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49" fontId="2" fillId="2" borderId="1" applyNumberFormat="1" applyFont="1" applyFill="1" applyBorder="1" applyAlignment="1" applyProtection="0">
      <alignment vertical="top" wrapText="1"/>
    </xf>
    <xf numFmtId="3" fontId="3" borderId="8" applyNumberFormat="1" applyFont="1" applyFill="0" applyBorder="1" applyAlignment="1" applyProtection="0">
      <alignment horizontal="right" vertical="center" wrapText="1" readingOrder="1"/>
    </xf>
    <xf numFmtId="1" fontId="3" borderId="3" applyNumberFormat="1" applyFont="1" applyFill="0" applyBorder="1" applyAlignment="1" applyProtection="0">
      <alignment horizontal="right" vertical="center" wrapText="1" readingOrder="1"/>
    </xf>
    <xf numFmtId="3" fontId="3" borderId="9" applyNumberFormat="1" applyFont="1" applyFill="0" applyBorder="1" applyAlignment="1" applyProtection="0">
      <alignment horizontal="right" vertical="center" wrapText="1" readingOrder="1"/>
    </xf>
    <xf numFmtId="1" fontId="3" borderId="6" applyNumberFormat="1" applyFont="1" applyFill="0" applyBorder="1" applyAlignment="1" applyProtection="0">
      <alignment horizontal="right" vertical="center" wrapText="1" readingOrder="1"/>
    </xf>
    <xf numFmtId="0" fontId="4" borderId="7" applyNumberFormat="1" applyFont="1" applyFill="0" applyBorder="1" applyAlignment="1" applyProtection="0">
      <alignment horizontal="right" vertical="top" wrapText="1"/>
    </xf>
    <xf numFmtId="0" fontId="4" borderId="7" applyNumberFormat="0" applyFont="1" applyFill="0" applyBorder="1" applyAlignment="1" applyProtection="0">
      <alignment horizontal="right"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6d6d6"/>
      <rgbColor rgb="ff323232"/>
      <rgbColor rgb="ffdbdbdb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6</xdr:col>
      <xdr:colOff>301989</xdr:colOff>
      <xdr:row>1</xdr:row>
      <xdr:rowOff>335430</xdr:rowOff>
    </xdr:from>
    <xdr:to>
      <xdr:col>13</xdr:col>
      <xdr:colOff>832529</xdr:colOff>
      <xdr:row>49</xdr:row>
      <xdr:rowOff>81634</xdr:rowOff>
    </xdr:to>
    <xdr:pic>
      <xdr:nvPicPr>
        <xdr:cNvPr id="2" name="Image" descr="Image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4048489" y="487830"/>
          <a:ext cx="9242741" cy="1206838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000000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584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Helvetica Neue Medium"/>
            <a:ea typeface="Helvetica Neue Medium"/>
            <a:cs typeface="Helvetica Neue Medium"/>
            <a:sym typeface="Helvetica Neue Medium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B3:F48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1.71094" style="1" customWidth="1"/>
    <col min="2" max="2" width="14.7656" style="1" customWidth="1"/>
    <col min="3" max="6" width="8.15625" style="1" customWidth="1"/>
    <col min="7" max="16384" width="16.3516" style="1" customWidth="1"/>
  </cols>
  <sheetData>
    <row r="1" ht="12" customHeight="1"/>
    <row r="2" ht="27.65" customHeight="1">
      <c r="B2" t="s" s="2">
        <v>0</v>
      </c>
      <c r="C2" s="2"/>
      <c r="D2" s="2"/>
      <c r="E2" s="2"/>
      <c r="F2" s="2"/>
    </row>
    <row r="3" ht="20.25" customHeight="1">
      <c r="B3" t="s" s="3">
        <v>1</v>
      </c>
      <c r="C3" s="4"/>
      <c r="D3" s="5"/>
      <c r="E3" t="s" s="6">
        <v>2</v>
      </c>
      <c r="F3" s="5"/>
    </row>
    <row r="4" ht="20.25" customHeight="1">
      <c r="B4" t="s" s="7">
        <v>3</v>
      </c>
      <c r="C4" s="8">
        <f>AVERAGE('Sales'!G24:G27)</f>
        <v>0.313288147120348</v>
      </c>
      <c r="D4" s="9"/>
      <c r="E4" s="9"/>
      <c r="F4" s="10">
        <f>AVERAGE(C5:F5)</f>
        <v>0.03</v>
      </c>
    </row>
    <row r="5" ht="20.05" customHeight="1">
      <c r="B5" t="s" s="11">
        <v>4</v>
      </c>
      <c r="C5" s="12">
        <v>0.03</v>
      </c>
      <c r="D5" s="13">
        <v>0.03</v>
      </c>
      <c r="E5" s="13">
        <v>0.07000000000000001</v>
      </c>
      <c r="F5" s="13">
        <v>-0.01</v>
      </c>
    </row>
    <row r="6" ht="20.05" customHeight="1">
      <c r="B6" t="s" s="11">
        <v>5</v>
      </c>
      <c r="C6" s="14">
        <f>'Sales'!C27*(1+C5)</f>
        <v>360.5</v>
      </c>
      <c r="D6" s="15">
        <f>C6*(1+D5)</f>
        <v>371.315</v>
      </c>
      <c r="E6" s="15">
        <f>D6*(1+E5)</f>
        <v>397.30705</v>
      </c>
      <c r="F6" s="15">
        <f>E6*(1+F5)</f>
        <v>393.3339795</v>
      </c>
    </row>
    <row r="7" ht="20.05" customHeight="1">
      <c r="B7" t="s" s="11">
        <v>6</v>
      </c>
      <c r="C7" s="12">
        <f>AVERAGE('Sales'!I27)</f>
        <v>-0.775100663480598</v>
      </c>
      <c r="D7" s="13">
        <f>C7</f>
        <v>-0.775100663480598</v>
      </c>
      <c r="E7" s="13">
        <f>D7</f>
        <v>-0.775100663480598</v>
      </c>
      <c r="F7" s="13">
        <f>E7</f>
        <v>-0.775100663480598</v>
      </c>
    </row>
    <row r="8" ht="20.05" customHeight="1">
      <c r="B8" t="s" s="11">
        <v>7</v>
      </c>
      <c r="C8" s="16">
        <f>C6*C7</f>
        <v>-279.423789184756</v>
      </c>
      <c r="D8" s="17">
        <f>D6*D7</f>
        <v>-287.806502860298</v>
      </c>
      <c r="E8" s="17">
        <f>E6*E7</f>
        <v>-307.952958060519</v>
      </c>
      <c r="F8" s="17">
        <f>F6*F7</f>
        <v>-304.873428479914</v>
      </c>
    </row>
    <row r="9" ht="20.05" customHeight="1">
      <c r="B9" t="s" s="11">
        <v>8</v>
      </c>
      <c r="C9" s="16">
        <f>C6+C8</f>
        <v>81.076210815244</v>
      </c>
      <c r="D9" s="17">
        <f>D6+D8</f>
        <v>83.508497139702</v>
      </c>
      <c r="E9" s="17">
        <f>E6+E8</f>
        <v>89.35409193948099</v>
      </c>
      <c r="F9" s="17">
        <f>F6+F8</f>
        <v>88.460551020086</v>
      </c>
    </row>
    <row r="10" ht="20.05" customHeight="1">
      <c r="B10" t="s" s="11">
        <v>9</v>
      </c>
      <c r="C10" s="16">
        <f>AVERAGE('Cashflow '!E4:E28)</f>
        <v>-143.6796</v>
      </c>
      <c r="D10" s="17">
        <f>C10</f>
        <v>-143.6796</v>
      </c>
      <c r="E10" s="17">
        <f>D10</f>
        <v>-143.6796</v>
      </c>
      <c r="F10" s="17">
        <f>E10</f>
        <v>-143.6796</v>
      </c>
    </row>
    <row r="11" ht="20.05" customHeight="1">
      <c r="B11" t="s" s="11">
        <v>10</v>
      </c>
      <c r="C11" s="16">
        <f>C12+C15+C13</f>
        <v>62.603389184756</v>
      </c>
      <c r="D11" s="17">
        <f>D12+D15+D13</f>
        <v>60.171102860298</v>
      </c>
      <c r="E11" s="17">
        <f>E12+E15+E13</f>
        <v>54.325508060519</v>
      </c>
      <c r="F11" s="17">
        <f>F12+F15+F13</f>
        <v>55.219048979914</v>
      </c>
    </row>
    <row r="12" ht="20.05" customHeight="1">
      <c r="B12" t="s" s="11">
        <v>11</v>
      </c>
      <c r="C12" s="16">
        <f>-'Balance sheet'!G29/20</f>
        <v>-28.3</v>
      </c>
      <c r="D12" s="17">
        <f>-C27/20</f>
        <v>-26.885</v>
      </c>
      <c r="E12" s="17">
        <f>-D27/20</f>
        <v>-25.54075</v>
      </c>
      <c r="F12" s="17">
        <f>-E27/20</f>
        <v>-24.2637125</v>
      </c>
    </row>
    <row r="13" ht="20.05" customHeight="1">
      <c r="B13" t="s" s="11">
        <v>12</v>
      </c>
      <c r="C13" s="16">
        <f>-MIN(0,C16)</f>
        <v>90.90338918475599</v>
      </c>
      <c r="D13" s="17">
        <f>-MIN(C28,D16)</f>
        <v>87.056102860298</v>
      </c>
      <c r="E13" s="17">
        <f>-MIN(D28,E16)</f>
        <v>79.866258060519</v>
      </c>
      <c r="F13" s="17">
        <f>-MIN(E28,F16)</f>
        <v>79.482761479914</v>
      </c>
    </row>
    <row r="14" ht="20.05" customHeight="1">
      <c r="B14" t="s" s="11">
        <v>13</v>
      </c>
      <c r="C14" s="18">
        <v>0</v>
      </c>
      <c r="D14" s="17"/>
      <c r="E14" s="17"/>
      <c r="F14" s="17"/>
    </row>
    <row r="15" ht="20.05" customHeight="1">
      <c r="B15" t="s" s="11">
        <v>14</v>
      </c>
      <c r="C15" s="16">
        <f>IF(C22&gt;0,-C22*$C$14,0)</f>
        <v>0</v>
      </c>
      <c r="D15" s="17">
        <f>IF(D22&gt;0,-D22*$C$14,0)</f>
        <v>0</v>
      </c>
      <c r="E15" s="17">
        <f>IF(E22&gt;0,-E22*$C$14,0)</f>
        <v>0</v>
      </c>
      <c r="F15" s="17">
        <f>IF(F22&gt;0,-F22*$C$14,0)</f>
        <v>0</v>
      </c>
    </row>
    <row r="16" ht="20.05" customHeight="1">
      <c r="B16" t="s" s="11">
        <v>15</v>
      </c>
      <c r="C16" s="16">
        <f>C9+C10+C12+C15</f>
        <v>-90.90338918475599</v>
      </c>
      <c r="D16" s="17">
        <f>D9+D10+D12+D15</f>
        <v>-87.056102860298</v>
      </c>
      <c r="E16" s="17">
        <f>E9+E10+E12+E15</f>
        <v>-79.866258060519</v>
      </c>
      <c r="F16" s="17">
        <f>F9+F10+F12+F15</f>
        <v>-79.482761479914</v>
      </c>
    </row>
    <row r="17" ht="20.05" customHeight="1">
      <c r="B17" t="s" s="11">
        <v>16</v>
      </c>
      <c r="C17" s="16">
        <f>'Balance sheet'!C29</f>
        <v>460.7</v>
      </c>
      <c r="D17" s="17">
        <f>C19</f>
        <v>460.7</v>
      </c>
      <c r="E17" s="17">
        <f>D19</f>
        <v>460.7</v>
      </c>
      <c r="F17" s="17">
        <f>E19</f>
        <v>460.7</v>
      </c>
    </row>
    <row r="18" ht="20.05" customHeight="1">
      <c r="B18" t="s" s="11">
        <v>17</v>
      </c>
      <c r="C18" s="16">
        <f>C9+C10+C11</f>
        <v>0</v>
      </c>
      <c r="D18" s="17">
        <f>D9+D10+D11</f>
        <v>0</v>
      </c>
      <c r="E18" s="17">
        <f>E9+E10+E11</f>
        <v>0</v>
      </c>
      <c r="F18" s="17">
        <f>F9+F10+F11</f>
        <v>0</v>
      </c>
    </row>
    <row r="19" ht="20.05" customHeight="1">
      <c r="B19" t="s" s="11">
        <v>18</v>
      </c>
      <c r="C19" s="16">
        <f>C17+C18</f>
        <v>460.7</v>
      </c>
      <c r="D19" s="17">
        <f>D17+D18</f>
        <v>460.7</v>
      </c>
      <c r="E19" s="17">
        <f>E17+E18</f>
        <v>460.7</v>
      </c>
      <c r="F19" s="17">
        <f>F17+F18</f>
        <v>460.7</v>
      </c>
    </row>
    <row r="20" ht="20.05" customHeight="1">
      <c r="B20" t="s" s="19">
        <v>19</v>
      </c>
      <c r="C20" s="16"/>
      <c r="D20" s="17"/>
      <c r="E20" s="17"/>
      <c r="F20" s="20"/>
    </row>
    <row r="21" ht="20.05" customHeight="1">
      <c r="B21" t="s" s="11">
        <v>20</v>
      </c>
      <c r="C21" s="16">
        <f>-AVERAGE('Sales'!E27)</f>
        <v>-50</v>
      </c>
      <c r="D21" s="17">
        <f>C21</f>
        <v>-50</v>
      </c>
      <c r="E21" s="17">
        <f>D21</f>
        <v>-50</v>
      </c>
      <c r="F21" s="17">
        <f>E21</f>
        <v>-50</v>
      </c>
    </row>
    <row r="22" ht="20.05" customHeight="1">
      <c r="B22" t="s" s="11">
        <v>19</v>
      </c>
      <c r="C22" s="16">
        <f>C6+C8+C21</f>
        <v>31.076210815244</v>
      </c>
      <c r="D22" s="17">
        <f>D6+D8+D21</f>
        <v>33.508497139702</v>
      </c>
      <c r="E22" s="17">
        <f>E6+E8+E21</f>
        <v>39.354091939481</v>
      </c>
      <c r="F22" s="17">
        <f>F6+F8+F21</f>
        <v>38.460551020086</v>
      </c>
    </row>
    <row r="23" ht="20.05" customHeight="1">
      <c r="B23" t="s" s="19">
        <v>21</v>
      </c>
      <c r="C23" s="16"/>
      <c r="D23" s="17"/>
      <c r="E23" s="17"/>
      <c r="F23" s="17"/>
    </row>
    <row r="24" ht="20.05" customHeight="1">
      <c r="B24" t="s" s="11">
        <v>22</v>
      </c>
      <c r="C24" s="16">
        <f>'Balance sheet'!E29+'Balance sheet'!F29-C10</f>
        <v>5557.9796</v>
      </c>
      <c r="D24" s="17">
        <f>C24-D10</f>
        <v>5701.6592</v>
      </c>
      <c r="E24" s="17">
        <f>D24-E10</f>
        <v>5845.3388</v>
      </c>
      <c r="F24" s="17">
        <f>E24-F10</f>
        <v>5989.0184</v>
      </c>
    </row>
    <row r="25" ht="20.05" customHeight="1">
      <c r="B25" t="s" s="11">
        <v>23</v>
      </c>
      <c r="C25" s="16">
        <f>'Balance sheet'!F29-C21</f>
        <v>1139</v>
      </c>
      <c r="D25" s="17">
        <f>C25-D21</f>
        <v>1189</v>
      </c>
      <c r="E25" s="17">
        <f>D25-E21</f>
        <v>1239</v>
      </c>
      <c r="F25" s="17">
        <f>E25-F21</f>
        <v>1289</v>
      </c>
    </row>
    <row r="26" ht="20.05" customHeight="1">
      <c r="B26" t="s" s="11">
        <v>24</v>
      </c>
      <c r="C26" s="16">
        <f>C24-C25</f>
        <v>4418.9796</v>
      </c>
      <c r="D26" s="17">
        <f>D24-D25</f>
        <v>4512.6592</v>
      </c>
      <c r="E26" s="17">
        <f>E24-E25</f>
        <v>4606.3388</v>
      </c>
      <c r="F26" s="17">
        <f>F24-F25</f>
        <v>4700.0184</v>
      </c>
    </row>
    <row r="27" ht="20.05" customHeight="1">
      <c r="B27" t="s" s="11">
        <v>11</v>
      </c>
      <c r="C27" s="16">
        <f>'Balance sheet'!G29+C12</f>
        <v>537.7</v>
      </c>
      <c r="D27" s="17">
        <f>C27+D12</f>
        <v>510.815</v>
      </c>
      <c r="E27" s="17">
        <f>D27+E12</f>
        <v>485.27425</v>
      </c>
      <c r="F27" s="17">
        <f>E27+F12</f>
        <v>461.0105375</v>
      </c>
    </row>
    <row r="28" ht="20.05" customHeight="1">
      <c r="B28" t="s" s="11">
        <v>12</v>
      </c>
      <c r="C28" s="16">
        <f>C13</f>
        <v>90.90338918475599</v>
      </c>
      <c r="D28" s="17">
        <f>C28+D13</f>
        <v>177.959492045054</v>
      </c>
      <c r="E28" s="17">
        <f>D28+E13</f>
        <v>257.825750105573</v>
      </c>
      <c r="F28" s="17">
        <f>E28+F13</f>
        <v>337.308511585487</v>
      </c>
    </row>
    <row r="29" ht="20.05" customHeight="1">
      <c r="B29" t="s" s="11">
        <v>14</v>
      </c>
      <c r="C29" s="16">
        <f>'Balance sheet'!H29+C22+C15</f>
        <v>4251.076210815240</v>
      </c>
      <c r="D29" s="17">
        <f>C29+D22+D15</f>
        <v>4284.584707954940</v>
      </c>
      <c r="E29" s="17">
        <f>D29+E22+E15</f>
        <v>4323.938799894420</v>
      </c>
      <c r="F29" s="17">
        <f>E29+F22+F15</f>
        <v>4362.399350914510</v>
      </c>
    </row>
    <row r="30" ht="20.05" customHeight="1">
      <c r="B30" t="s" s="11">
        <v>25</v>
      </c>
      <c r="C30" s="16">
        <f>C27+C28+C29-C19-C26</f>
        <v>-4e-12</v>
      </c>
      <c r="D30" s="17">
        <f>D27+D28+D29-D19-D26</f>
        <v>-6e-12</v>
      </c>
      <c r="E30" s="17">
        <f>E27+E28+E29-E19-E26</f>
        <v>-7e-12</v>
      </c>
      <c r="F30" s="17">
        <f>F27+F28+F29-F19-F26</f>
        <v>-3e-12</v>
      </c>
    </row>
    <row r="31" ht="20.05" customHeight="1">
      <c r="B31" t="s" s="11">
        <v>26</v>
      </c>
      <c r="C31" s="16">
        <f>C19-C27-C28</f>
        <v>-167.903389184756</v>
      </c>
      <c r="D31" s="17">
        <f>D19-D27-D28</f>
        <v>-228.074492045054</v>
      </c>
      <c r="E31" s="17">
        <f>E19-E27-E28</f>
        <v>-282.400000105573</v>
      </c>
      <c r="F31" s="17">
        <f>F19-F27-F28</f>
        <v>-337.619049085487</v>
      </c>
    </row>
    <row r="32" ht="20.05" customHeight="1">
      <c r="B32" t="s" s="11">
        <v>27</v>
      </c>
      <c r="C32" s="16"/>
      <c r="D32" s="17"/>
      <c r="E32" s="17"/>
      <c r="F32" s="17"/>
    </row>
    <row r="33" ht="20.05" customHeight="1">
      <c r="B33" t="s" s="11">
        <v>28</v>
      </c>
      <c r="C33" s="16">
        <f>'Cashflow '!M28-C11</f>
        <v>-3312.983389184760</v>
      </c>
      <c r="D33" s="17">
        <f>C33-D11</f>
        <v>-3373.154492045060</v>
      </c>
      <c r="E33" s="17">
        <f>D33-E11</f>
        <v>-3427.480000105580</v>
      </c>
      <c r="F33" s="17">
        <f>E33-F11</f>
        <v>-3482.699049085490</v>
      </c>
    </row>
    <row r="34" ht="20.05" customHeight="1">
      <c r="B34" t="s" s="11">
        <v>29</v>
      </c>
      <c r="C34" s="16"/>
      <c r="D34" s="17"/>
      <c r="E34" s="17"/>
      <c r="F34" s="17">
        <v>5995360157696</v>
      </c>
    </row>
    <row r="35" ht="20.05" customHeight="1">
      <c r="B35" t="s" s="11">
        <v>29</v>
      </c>
      <c r="C35" s="16"/>
      <c r="D35" s="17"/>
      <c r="E35" s="17"/>
      <c r="F35" s="17">
        <f>F34/1000000000</f>
        <v>5995.360157696</v>
      </c>
    </row>
    <row r="36" ht="20.05" customHeight="1">
      <c r="B36" t="s" s="11">
        <v>30</v>
      </c>
      <c r="C36" s="16"/>
      <c r="D36" s="17"/>
      <c r="E36" s="17"/>
      <c r="F36" s="21">
        <f>F35/(F19+F26)</f>
        <v>1.16172976182851</v>
      </c>
    </row>
    <row r="37" ht="20.05" customHeight="1">
      <c r="B37" t="s" s="11">
        <v>31</v>
      </c>
      <c r="C37" s="16"/>
      <c r="D37" s="17"/>
      <c r="E37" s="17"/>
      <c r="F37" s="22">
        <f>-(C15+D15+E15+F15)/F35</f>
        <v>0</v>
      </c>
    </row>
    <row r="38" ht="20.05" customHeight="1">
      <c r="B38" t="s" s="11">
        <v>32</v>
      </c>
      <c r="C38" s="16"/>
      <c r="D38" s="17"/>
      <c r="E38" s="17"/>
      <c r="F38" s="17">
        <f>SUM(C9:F9)</f>
        <v>342.399350914513</v>
      </c>
    </row>
    <row r="39" ht="20.05" customHeight="1">
      <c r="B39" t="s" s="11">
        <v>33</v>
      </c>
      <c r="C39" s="16"/>
      <c r="D39" s="17"/>
      <c r="E39" s="17"/>
      <c r="F39" s="17">
        <f>'Balance sheet'!E29/F38</f>
        <v>12.6323253488874</v>
      </c>
    </row>
    <row r="40" ht="20.05" customHeight="1">
      <c r="B40" t="s" s="11">
        <v>27</v>
      </c>
      <c r="C40" s="16"/>
      <c r="D40" s="17"/>
      <c r="E40" s="17"/>
      <c r="F40" s="17">
        <f>F35/F38</f>
        <v>17.5098467379772</v>
      </c>
    </row>
    <row r="41" ht="20.05" customHeight="1">
      <c r="B41" t="s" s="11">
        <v>34</v>
      </c>
      <c r="C41" s="16"/>
      <c r="D41" s="17"/>
      <c r="E41" s="17"/>
      <c r="F41" s="17">
        <v>12</v>
      </c>
    </row>
    <row r="42" ht="20.05" customHeight="1">
      <c r="B42" t="s" s="11">
        <v>35</v>
      </c>
      <c r="C42" s="16"/>
      <c r="D42" s="17"/>
      <c r="E42" s="17"/>
      <c r="F42" s="17">
        <f>F38*F41</f>
        <v>4108.792210974160</v>
      </c>
    </row>
    <row r="43" ht="20.05" customHeight="1">
      <c r="B43" t="s" s="11">
        <v>36</v>
      </c>
      <c r="C43" s="16"/>
      <c r="D43" s="17"/>
      <c r="E43" s="17"/>
      <c r="F43" s="17">
        <f>F35/F45</f>
        <v>17.129600450560</v>
      </c>
    </row>
    <row r="44" ht="20.05" customHeight="1">
      <c r="B44" t="s" s="11">
        <v>37</v>
      </c>
      <c r="C44" s="16"/>
      <c r="D44" s="17"/>
      <c r="E44" s="17"/>
      <c r="F44" s="17">
        <f>F42/F43</f>
        <v>239.865034962905</v>
      </c>
    </row>
    <row r="45" ht="20.05" customHeight="1">
      <c r="B45" t="s" s="11">
        <v>38</v>
      </c>
      <c r="C45" s="16"/>
      <c r="D45" s="17"/>
      <c r="E45" s="17"/>
      <c r="F45" s="23">
        <v>350</v>
      </c>
    </row>
    <row r="46" ht="20.05" customHeight="1">
      <c r="B46" t="s" s="11">
        <v>39</v>
      </c>
      <c r="C46" s="16"/>
      <c r="D46" s="17"/>
      <c r="E46" s="17"/>
      <c r="F46" s="22">
        <f>F44/F45-1</f>
        <v>-0.314671328677414</v>
      </c>
    </row>
    <row r="47" ht="20.05" customHeight="1">
      <c r="B47" t="s" s="11">
        <v>40</v>
      </c>
      <c r="C47" s="16"/>
      <c r="D47" s="17"/>
      <c r="E47" s="17"/>
      <c r="F47" s="22">
        <f>'Sales'!C27/'Sales'!C23-1</f>
        <v>0.59890360895386</v>
      </c>
    </row>
    <row r="48" ht="20.05" customHeight="1">
      <c r="B48" t="s" s="11">
        <v>41</v>
      </c>
      <c r="C48" s="16"/>
      <c r="D48" s="17"/>
      <c r="E48" s="17"/>
      <c r="F48" s="22">
        <f>'Sales'!F30/'Sales'!E30-1</f>
        <v>-0.115124125188959</v>
      </c>
    </row>
  </sheetData>
  <mergeCells count="1">
    <mergeCell ref="B2:F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B2:J31"/>
  <sheetViews>
    <sheetView workbookViewId="0" showGridLines="0" defaultGridColor="1">
      <pane topLeftCell="C3" xSplit="2" ySplit="2" activePane="bottomRight" state="frozen"/>
    </sheetView>
  </sheetViews>
  <sheetFormatPr defaultColWidth="16.3333" defaultRowHeight="19.9" customHeight="1" outlineLevelRow="0" outlineLevelCol="0"/>
  <cols>
    <col min="1" max="1" width="1.72656" style="24" customWidth="1"/>
    <col min="2" max="10" width="10.9688" style="24" customWidth="1"/>
    <col min="11" max="16384" width="16.3516" style="24" customWidth="1"/>
  </cols>
  <sheetData>
    <row r="1" ht="27.65" customHeight="1">
      <c r="B1" t="s" s="2">
        <v>5</v>
      </c>
      <c r="C1" s="2"/>
      <c r="D1" s="2"/>
      <c r="E1" s="2"/>
      <c r="F1" s="2"/>
      <c r="G1" s="2"/>
      <c r="H1" s="2"/>
      <c r="I1" s="2"/>
      <c r="J1" s="2"/>
    </row>
    <row r="2" ht="32.25" customHeight="1">
      <c r="B2" t="s" s="6">
        <v>1</v>
      </c>
      <c r="C2" t="s" s="6">
        <v>5</v>
      </c>
      <c r="D2" t="s" s="6">
        <v>34</v>
      </c>
      <c r="E2" t="s" s="6">
        <v>23</v>
      </c>
      <c r="F2" t="s" s="6">
        <v>42</v>
      </c>
      <c r="G2" t="s" s="6">
        <v>43</v>
      </c>
      <c r="H2" t="s" s="6">
        <v>6</v>
      </c>
      <c r="I2" t="s" s="6">
        <v>6</v>
      </c>
      <c r="J2" t="s" s="6">
        <v>34</v>
      </c>
    </row>
    <row r="3" ht="20.25" customHeight="1">
      <c r="B3" s="25">
        <v>2016</v>
      </c>
      <c r="C3" s="26">
        <v>143.4</v>
      </c>
      <c r="D3" s="27"/>
      <c r="E3" s="27">
        <v>13.5</v>
      </c>
      <c r="F3" s="27">
        <v>24.9</v>
      </c>
      <c r="G3" s="28"/>
      <c r="H3" s="10">
        <f>(E3+F3-C3)/C3</f>
        <v>-0.732217573221757</v>
      </c>
      <c r="I3" s="10"/>
      <c r="J3" s="10"/>
    </row>
    <row r="4" ht="20.05" customHeight="1">
      <c r="B4" s="29"/>
      <c r="C4" s="16">
        <v>167.3</v>
      </c>
      <c r="D4" s="17"/>
      <c r="E4" s="17">
        <v>34.6</v>
      </c>
      <c r="F4" s="17">
        <v>-25.7</v>
      </c>
      <c r="G4" s="13">
        <f>C4/C3-1</f>
        <v>0.166666666666667</v>
      </c>
      <c r="H4" s="13">
        <f>(E4+F4-C4)/C4</f>
        <v>-0.946802151823072</v>
      </c>
      <c r="I4" s="13"/>
      <c r="J4" s="13"/>
    </row>
    <row r="5" ht="20.05" customHeight="1">
      <c r="B5" s="29"/>
      <c r="C5" s="16">
        <v>164.1</v>
      </c>
      <c r="D5" s="17"/>
      <c r="E5" s="17">
        <v>25.3</v>
      </c>
      <c r="F5" s="17">
        <v>8.1</v>
      </c>
      <c r="G5" s="13">
        <f>C5/C4-1</f>
        <v>-0.0191273161984459</v>
      </c>
      <c r="H5" s="13">
        <f>(E5+F5-C5)/C5</f>
        <v>-0.796465569774528</v>
      </c>
      <c r="I5" s="13"/>
      <c r="J5" s="13"/>
    </row>
    <row r="6" ht="20.05" customHeight="1">
      <c r="B6" s="29"/>
      <c r="C6" s="16">
        <v>160.2</v>
      </c>
      <c r="D6" s="17"/>
      <c r="E6" s="17">
        <v>-6.4</v>
      </c>
      <c r="F6" s="17">
        <v>7.5</v>
      </c>
      <c r="G6" s="13">
        <f>C6/C5-1</f>
        <v>-0.0237659963436929</v>
      </c>
      <c r="H6" s="13">
        <f>(E6+F6-C6)/C6</f>
        <v>-0.993133583021223</v>
      </c>
      <c r="I6" s="13"/>
      <c r="J6" s="13"/>
    </row>
    <row r="7" ht="20.05" customHeight="1">
      <c r="B7" s="30">
        <v>2017</v>
      </c>
      <c r="C7" s="16">
        <v>181</v>
      </c>
      <c r="D7" s="17"/>
      <c r="E7" s="17">
        <v>16.9</v>
      </c>
      <c r="F7" s="17">
        <v>22.6</v>
      </c>
      <c r="G7" s="13">
        <f>C7/C6-1</f>
        <v>0.129837702871411</v>
      </c>
      <c r="H7" s="13">
        <f>(E7+F7-C7)/C7</f>
        <v>-0.781767955801105</v>
      </c>
      <c r="I7" s="13">
        <f>AVERAGE(H4:H7)</f>
        <v>-0.879542315104982</v>
      </c>
      <c r="J7" s="13"/>
    </row>
    <row r="8" ht="20.05" customHeight="1">
      <c r="B8" s="29"/>
      <c r="C8" s="16">
        <v>188.6</v>
      </c>
      <c r="D8" s="17"/>
      <c r="E8" s="17">
        <v>16.6</v>
      </c>
      <c r="F8" s="17">
        <v>24</v>
      </c>
      <c r="G8" s="13">
        <f>C8/C7-1</f>
        <v>0.0419889502762431</v>
      </c>
      <c r="H8" s="13">
        <f>(E8+F8-C8)/C8</f>
        <v>-0.784729586426299</v>
      </c>
      <c r="I8" s="13">
        <f>AVERAGE(H5:H8)</f>
        <v>-0.839024173755789</v>
      </c>
      <c r="J8" s="13"/>
    </row>
    <row r="9" ht="20.05" customHeight="1">
      <c r="B9" s="29"/>
      <c r="C9" s="16">
        <v>200.4</v>
      </c>
      <c r="D9" s="17"/>
      <c r="E9" s="17">
        <v>17.1</v>
      </c>
      <c r="F9" s="17">
        <v>24.5</v>
      </c>
      <c r="G9" s="13">
        <f>C9/C8-1</f>
        <v>0.0625662778366914</v>
      </c>
      <c r="H9" s="13">
        <f>(E9+F9-C9)/C9</f>
        <v>-0.792415169660679</v>
      </c>
      <c r="I9" s="13">
        <f>AVERAGE(H6:H9)</f>
        <v>-0.838011573727327</v>
      </c>
      <c r="J9" s="13"/>
    </row>
    <row r="10" ht="20.05" customHeight="1">
      <c r="B10" s="29"/>
      <c r="C10" s="16">
        <v>205.6</v>
      </c>
      <c r="D10" s="17"/>
      <c r="E10" s="17">
        <v>19.3</v>
      </c>
      <c r="F10" s="17">
        <v>0.9</v>
      </c>
      <c r="G10" s="13">
        <f>C10/C9-1</f>
        <v>0.0259481037924152</v>
      </c>
      <c r="H10" s="13">
        <f>(E10+F10-C10)/C10</f>
        <v>-0.901750972762646</v>
      </c>
      <c r="I10" s="13">
        <f>AVERAGE(H7:H10)</f>
        <v>-0.8151659211626821</v>
      </c>
      <c r="J10" s="13"/>
    </row>
    <row r="11" ht="20.05" customHeight="1">
      <c r="B11" s="30">
        <v>2018</v>
      </c>
      <c r="C11" s="16">
        <v>222.4</v>
      </c>
      <c r="D11" s="17"/>
      <c r="E11" s="17">
        <v>21.9</v>
      </c>
      <c r="F11" s="17">
        <v>21.1</v>
      </c>
      <c r="G11" s="13">
        <f>C11/C10-1</f>
        <v>0.0817120622568093</v>
      </c>
      <c r="H11" s="13">
        <f>(E11+F11-C11)/C11</f>
        <v>-0.806654676258993</v>
      </c>
      <c r="I11" s="13">
        <f>AVERAGE(H8:H11)</f>
        <v>-0.821387601277154</v>
      </c>
      <c r="J11" s="13"/>
    </row>
    <row r="12" ht="20.05" customHeight="1">
      <c r="B12" s="29"/>
      <c r="C12" s="16">
        <v>225.3</v>
      </c>
      <c r="D12" s="17"/>
      <c r="E12" s="17">
        <v>19.5</v>
      </c>
      <c r="F12" s="17">
        <v>26.6</v>
      </c>
      <c r="G12" s="13">
        <f>C12/C11-1</f>
        <v>0.0130395683453237</v>
      </c>
      <c r="H12" s="13">
        <f>(E12+F12-C12)/C12</f>
        <v>-0.795383932534399</v>
      </c>
      <c r="I12" s="13">
        <f>AVERAGE(H9:H12)</f>
        <v>-0.824051187804179</v>
      </c>
      <c r="J12" s="13"/>
    </row>
    <row r="13" ht="20.05" customHeight="1">
      <c r="B13" s="29"/>
      <c r="C13" s="16">
        <v>245.7</v>
      </c>
      <c r="D13" s="17"/>
      <c r="E13" s="17">
        <v>23.7</v>
      </c>
      <c r="F13" s="17">
        <v>2.7</v>
      </c>
      <c r="G13" s="13">
        <f>C13/C12-1</f>
        <v>0.09054593874833559</v>
      </c>
      <c r="H13" s="13">
        <f>(E13+F13-C13)/C13</f>
        <v>-0.892551892551893</v>
      </c>
      <c r="I13" s="13">
        <f>AVERAGE(H10:H13)</f>
        <v>-0.849085368526983</v>
      </c>
      <c r="J13" s="13"/>
    </row>
    <row r="14" ht="20.05" customHeight="1">
      <c r="B14" s="29"/>
      <c r="C14" s="16">
        <v>258.7</v>
      </c>
      <c r="D14" s="17"/>
      <c r="E14" s="17">
        <v>31.3</v>
      </c>
      <c r="F14" s="17">
        <v>8.5</v>
      </c>
      <c r="G14" s="13">
        <f>C14/C13-1</f>
        <v>0.0529100529100529</v>
      </c>
      <c r="H14" s="13">
        <f>(E14+F14-C14)/C14</f>
        <v>-0.846153846153846</v>
      </c>
      <c r="I14" s="13">
        <f>AVERAGE(H11:H14)</f>
        <v>-0.835186086874783</v>
      </c>
      <c r="J14" s="13"/>
    </row>
    <row r="15" ht="20.05" customHeight="1">
      <c r="B15" s="30">
        <v>2019</v>
      </c>
      <c r="C15" s="16">
        <f t="shared" si="31" ref="C15:C17">396/3</f>
        <v>132</v>
      </c>
      <c r="D15" s="17"/>
      <c r="E15" s="17">
        <v>38.4</v>
      </c>
      <c r="F15" s="17">
        <v>4.2</v>
      </c>
      <c r="G15" s="13">
        <f>C15/C14-1</f>
        <v>-0.489756474681098</v>
      </c>
      <c r="H15" s="13">
        <f>(E15+F15-C15)/C15</f>
        <v>-0.677272727272727</v>
      </c>
      <c r="I15" s="13">
        <f>AVERAGE(H12:H15)</f>
        <v>-0.802840599628216</v>
      </c>
      <c r="J15" s="13"/>
    </row>
    <row r="16" ht="20.05" customHeight="1">
      <c r="B16" s="29"/>
      <c r="C16" s="16">
        <f t="shared" si="31"/>
        <v>132</v>
      </c>
      <c r="D16" s="17"/>
      <c r="E16" s="17">
        <v>35.7</v>
      </c>
      <c r="F16" s="17">
        <v>0.6</v>
      </c>
      <c r="G16" s="13">
        <f>C16/C15-1</f>
        <v>0</v>
      </c>
      <c r="H16" s="13">
        <f>(E16+F16-C16)/C16</f>
        <v>-0.725</v>
      </c>
      <c r="I16" s="13">
        <f>AVERAGE(H13:H16)</f>
        <v>-0.785244616494617</v>
      </c>
      <c r="J16" s="13"/>
    </row>
    <row r="17" ht="20.05" customHeight="1">
      <c r="B17" s="29"/>
      <c r="C17" s="16">
        <f t="shared" si="31"/>
        <v>132</v>
      </c>
      <c r="D17" s="17"/>
      <c r="E17" s="17">
        <v>-15.7</v>
      </c>
      <c r="F17" s="17">
        <v>-97.8</v>
      </c>
      <c r="G17" s="13">
        <f>C17/C16-1</f>
        <v>0</v>
      </c>
      <c r="H17" s="13">
        <f>(E17+F17-C17)/C17</f>
        <v>-1.85984848484848</v>
      </c>
      <c r="I17" s="13">
        <f>AVERAGE(H14:H17)</f>
        <v>-1.02706876456876</v>
      </c>
      <c r="J17" s="13"/>
    </row>
    <row r="18" ht="20.05" customHeight="1">
      <c r="B18" s="29"/>
      <c r="C18" s="16">
        <v>133.3</v>
      </c>
      <c r="D18" s="17"/>
      <c r="E18" s="17">
        <v>21.8</v>
      </c>
      <c r="F18" s="17">
        <v>-21.4</v>
      </c>
      <c r="G18" s="13">
        <f>C18/C17-1</f>
        <v>0.009848484848484849</v>
      </c>
      <c r="H18" s="13">
        <f>(E18+F18-C18)/C18</f>
        <v>-0.996999249812453</v>
      </c>
      <c r="I18" s="13">
        <f>AVERAGE(H15:H18)</f>
        <v>-1.06478011548342</v>
      </c>
      <c r="J18" s="13"/>
    </row>
    <row r="19" ht="20.05" customHeight="1">
      <c r="B19" s="30">
        <v>2020</v>
      </c>
      <c r="C19" s="16">
        <v>136.6</v>
      </c>
      <c r="D19" s="17"/>
      <c r="E19" s="17">
        <v>24</v>
      </c>
      <c r="F19" s="17">
        <v>-17.8</v>
      </c>
      <c r="G19" s="13">
        <f>C19/C18-1</f>
        <v>0.0247561890472618</v>
      </c>
      <c r="H19" s="13">
        <f>(E19+F19-C19)/C19</f>
        <v>-0.954612005856515</v>
      </c>
      <c r="I19" s="13">
        <f>AVERAGE(H16:H19)</f>
        <v>-1.13411493512936</v>
      </c>
      <c r="J19" s="13"/>
    </row>
    <row r="20" ht="20.05" customHeight="1">
      <c r="B20" s="29"/>
      <c r="C20" s="16">
        <v>79.09999999999999</v>
      </c>
      <c r="D20" s="17"/>
      <c r="E20" s="17">
        <v>24</v>
      </c>
      <c r="F20" s="17">
        <v>-29.6</v>
      </c>
      <c r="G20" s="13">
        <f>C20/C19-1</f>
        <v>-0.420937042459736</v>
      </c>
      <c r="H20" s="13">
        <f>(E20+F20-C20)/C20</f>
        <v>-1.07079646017699</v>
      </c>
      <c r="I20" s="13">
        <f>AVERAGE(H17:H20)</f>
        <v>-1.22056405017361</v>
      </c>
      <c r="J20" s="13"/>
    </row>
    <row r="21" ht="20.05" customHeight="1">
      <c r="B21" s="29"/>
      <c r="C21" s="16">
        <v>127.4</v>
      </c>
      <c r="D21" s="17"/>
      <c r="E21" s="17">
        <v>363</v>
      </c>
      <c r="F21" s="17">
        <v>-410.3</v>
      </c>
      <c r="G21" s="13">
        <f>C21/C20-1</f>
        <v>0.610619469026549</v>
      </c>
      <c r="H21" s="13">
        <f>(E21+F21-C21)/C21</f>
        <v>-1.3712715855573</v>
      </c>
      <c r="I21" s="13">
        <f>AVERAGE(H18:H21)</f>
        <v>-1.09841982535081</v>
      </c>
      <c r="J21" s="13"/>
    </row>
    <row r="22" ht="20.05" customHeight="1">
      <c r="B22" s="29"/>
      <c r="C22" s="16">
        <f>507.6-SUM(C19:C21)</f>
        <v>164.5</v>
      </c>
      <c r="D22" s="17">
        <v>137.592</v>
      </c>
      <c r="E22" s="17">
        <v>-43</v>
      </c>
      <c r="F22" s="17">
        <f>-449.46-SUM(F19:F21)</f>
        <v>8.24</v>
      </c>
      <c r="G22" s="13">
        <f>C22/C21-1</f>
        <v>0.291208791208791</v>
      </c>
      <c r="H22" s="13">
        <f>(E22+F22-C22)/C22</f>
        <v>-1.21130699088146</v>
      </c>
      <c r="I22" s="13">
        <f>AVERAGE(H19:H22)</f>
        <v>-1.15199676061807</v>
      </c>
      <c r="J22" s="13"/>
    </row>
    <row r="23" ht="20.05" customHeight="1">
      <c r="B23" s="30">
        <v>2021</v>
      </c>
      <c r="C23" s="16">
        <v>218.9</v>
      </c>
      <c r="D23" s="17">
        <v>185.885</v>
      </c>
      <c r="E23" s="17">
        <f>21.7</f>
        <v>21.7</v>
      </c>
      <c r="F23" s="17">
        <v>39.3</v>
      </c>
      <c r="G23" s="13">
        <f>C23/C22-1</f>
        <v>0.330699088145897</v>
      </c>
      <c r="H23" s="13">
        <f>(E23+F23-C23)/C23</f>
        <v>-0.72133394243947</v>
      </c>
      <c r="I23" s="13">
        <f>AVERAGE(H20:H23)</f>
        <v>-1.09367724476381</v>
      </c>
      <c r="J23" s="13"/>
    </row>
    <row r="24" ht="20.05" customHeight="1">
      <c r="B24" s="29"/>
      <c r="C24" s="16">
        <f>438.1-C23</f>
        <v>219.2</v>
      </c>
      <c r="D24" s="17">
        <f>'Model'!C6</f>
        <v>360.5</v>
      </c>
      <c r="E24" s="17">
        <f>17+26-E23</f>
        <v>21.3</v>
      </c>
      <c r="F24" s="17">
        <f>98.6-F23</f>
        <v>59.3</v>
      </c>
      <c r="G24" s="13">
        <f>C24/C23-1</f>
        <v>0.00137048880767474</v>
      </c>
      <c r="H24" s="13">
        <f>(E24+F24-C24)/C24</f>
        <v>-0.632299270072993</v>
      </c>
      <c r="I24" s="13">
        <f>AVERAGE(H21:H24)</f>
        <v>-0.984052947237806</v>
      </c>
      <c r="J24" s="13"/>
    </row>
    <row r="25" ht="20.05" customHeight="1">
      <c r="B25" s="29"/>
      <c r="C25" s="16">
        <f>986.9-SUM(C23:C24)</f>
        <v>548.8</v>
      </c>
      <c r="D25" s="31">
        <f>'Model'!C6</f>
        <v>360.5</v>
      </c>
      <c r="E25" s="17">
        <f>105.8-SUM(E23:E24)</f>
        <v>62.8</v>
      </c>
      <c r="F25" s="17">
        <f>145.1-SUM(F23:F24)</f>
        <v>46.5</v>
      </c>
      <c r="G25" s="13">
        <f>C25/C24-1</f>
        <v>1.5036496350365</v>
      </c>
      <c r="H25" s="13">
        <f>(E25+F25-C25)/C25</f>
        <v>-0.800838192419825</v>
      </c>
      <c r="I25" s="13">
        <f>AVERAGE(H22:H25)</f>
        <v>-0.841444598953437</v>
      </c>
      <c r="J25" s="13"/>
    </row>
    <row r="26" ht="20.05" customHeight="1">
      <c r="B26" s="29"/>
      <c r="C26" s="16">
        <f>1271.6-SUM(C23:C25)</f>
        <v>284.7</v>
      </c>
      <c r="D26" s="17">
        <v>237.0648</v>
      </c>
      <c r="E26" s="17">
        <f>149.8-SUM(E23:E25)</f>
        <v>44</v>
      </c>
      <c r="F26" s="17">
        <f>148-SUM(F23:F25)</f>
        <v>2.9</v>
      </c>
      <c r="G26" s="13">
        <f>C26/C25-1</f>
        <v>-0.481231778425656</v>
      </c>
      <c r="H26" s="13">
        <f>(E26+F26-C26)/C26</f>
        <v>-0.835265191429575</v>
      </c>
      <c r="I26" s="13">
        <f>AVERAGE(H23:H26)</f>
        <v>-0.747434149090466</v>
      </c>
      <c r="J26" s="13"/>
    </row>
    <row r="27" ht="20.05" customHeight="1">
      <c r="B27" s="30">
        <v>2022</v>
      </c>
      <c r="C27" s="16">
        <v>350</v>
      </c>
      <c r="D27" s="31">
        <v>298.935</v>
      </c>
      <c r="E27" s="17">
        <v>50</v>
      </c>
      <c r="F27" s="17">
        <v>8.800000000000001</v>
      </c>
      <c r="G27" s="13">
        <f>C27/C26-1</f>
        <v>0.229364243062873</v>
      </c>
      <c r="H27" s="13">
        <f>(E27+F27-C27)/C27</f>
        <v>-0.832</v>
      </c>
      <c r="I27" s="13">
        <f>AVERAGE(H24:H27)</f>
        <v>-0.775100663480598</v>
      </c>
      <c r="J27" s="13">
        <v>-0.747434149090466</v>
      </c>
    </row>
    <row r="28" ht="20.05" customHeight="1">
      <c r="B28" s="29"/>
      <c r="C28" s="16"/>
      <c r="D28" s="31">
        <f>'Model'!C6</f>
        <v>360.5</v>
      </c>
      <c r="E28" s="17"/>
      <c r="F28" s="17"/>
      <c r="G28" s="32"/>
      <c r="H28" s="33"/>
      <c r="I28" s="33"/>
      <c r="J28" s="13">
        <f>'Model'!C7</f>
        <v>-0.775100663480598</v>
      </c>
    </row>
    <row r="29" ht="20.05" customHeight="1">
      <c r="B29" s="29"/>
      <c r="C29" s="16"/>
      <c r="D29" s="17">
        <f>'Model'!D6</f>
        <v>371.315</v>
      </c>
      <c r="E29" s="20"/>
      <c r="F29" s="20"/>
      <c r="G29" s="32"/>
      <c r="H29" s="33"/>
      <c r="I29" s="33"/>
      <c r="J29" s="33"/>
    </row>
    <row r="30" ht="20.05" customHeight="1">
      <c r="B30" s="29"/>
      <c r="C30" s="16"/>
      <c r="D30" s="17">
        <f>'Model'!E6</f>
        <v>397.30705</v>
      </c>
      <c r="E30" s="17">
        <f>SUM(C22:C27)</f>
        <v>1786.1</v>
      </c>
      <c r="F30" s="17">
        <f>SUM(D22:D27)</f>
        <v>1580.4768</v>
      </c>
      <c r="G30" s="32"/>
      <c r="H30" s="33"/>
      <c r="I30" s="33"/>
      <c r="J30" s="33"/>
    </row>
    <row r="31" ht="20.05" customHeight="1">
      <c r="B31" s="30">
        <v>2023</v>
      </c>
      <c r="C31" s="16"/>
      <c r="D31" s="17">
        <f>'Model'!F6</f>
        <v>393.3339795</v>
      </c>
      <c r="E31" s="17"/>
      <c r="F31" s="17"/>
      <c r="G31" s="32"/>
      <c r="H31" s="33"/>
      <c r="I31" s="33"/>
      <c r="J31" s="33"/>
    </row>
  </sheetData>
  <mergeCells count="1">
    <mergeCell ref="B1:J1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dimension ref="B3:O29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5.625" style="34" customWidth="1"/>
    <col min="2" max="2" width="10.25" style="34" customWidth="1"/>
    <col min="3" max="15" width="11.1094" style="34" customWidth="1"/>
    <col min="16" max="16384" width="16.3516" style="34" customWidth="1"/>
  </cols>
  <sheetData>
    <row r="1" ht="13.85" customHeight="1"/>
    <row r="2" ht="27.65" customHeight="1">
      <c r="B2" t="s" s="2">
        <v>32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ht="46.75" customHeight="1">
      <c r="B3" t="s" s="6">
        <v>1</v>
      </c>
      <c r="C3" t="s" s="6">
        <v>44</v>
      </c>
      <c r="D3" t="s" s="6">
        <v>8</v>
      </c>
      <c r="E3" t="s" s="6">
        <v>9</v>
      </c>
      <c r="F3" t="s" s="6">
        <v>45</v>
      </c>
      <c r="G3" t="s" s="6">
        <v>46</v>
      </c>
      <c r="H3" t="s" s="6">
        <v>47</v>
      </c>
      <c r="I3" t="s" s="6">
        <v>10</v>
      </c>
      <c r="J3" t="s" s="6">
        <v>48</v>
      </c>
      <c r="K3" t="s" s="6">
        <v>32</v>
      </c>
      <c r="L3" t="s" s="6">
        <v>34</v>
      </c>
      <c r="M3" t="s" s="6">
        <v>49</v>
      </c>
      <c r="N3" t="s" s="6">
        <v>34</v>
      </c>
      <c r="O3" s="4"/>
    </row>
    <row r="4" ht="21.4" customHeight="1">
      <c r="B4" s="25">
        <v>2016</v>
      </c>
      <c r="C4" s="26">
        <v>137.1</v>
      </c>
      <c r="D4" s="27">
        <v>40.2</v>
      </c>
      <c r="E4" s="27">
        <v>-149.1</v>
      </c>
      <c r="F4" s="27"/>
      <c r="G4" s="27"/>
      <c r="H4" s="27"/>
      <c r="I4" s="27">
        <v>43</v>
      </c>
      <c r="J4" s="35">
        <f>D4+E4</f>
        <v>-108.9</v>
      </c>
      <c r="K4" s="35"/>
      <c r="L4" s="27"/>
      <c r="M4" s="27">
        <f>-I4</f>
        <v>-43</v>
      </c>
      <c r="N4" s="27"/>
      <c r="O4" s="27">
        <v>1</v>
      </c>
    </row>
    <row r="5" ht="21.2" customHeight="1">
      <c r="B5" s="29"/>
      <c r="C5" s="16">
        <v>181.6</v>
      </c>
      <c r="D5" s="17">
        <v>81.40000000000001</v>
      </c>
      <c r="E5" s="17">
        <v>-150.8</v>
      </c>
      <c r="F5" s="17"/>
      <c r="G5" s="17"/>
      <c r="H5" s="17"/>
      <c r="I5" s="17">
        <v>72.3</v>
      </c>
      <c r="J5" s="36">
        <f>D5+E5</f>
        <v>-69.40000000000001</v>
      </c>
      <c r="K5" s="36"/>
      <c r="L5" s="17"/>
      <c r="M5" s="17">
        <f>-I5+M4</f>
        <v>-115.3</v>
      </c>
      <c r="N5" s="17"/>
      <c r="O5" s="17">
        <f>1+O4</f>
        <v>2</v>
      </c>
    </row>
    <row r="6" ht="21.2" customHeight="1">
      <c r="B6" s="29"/>
      <c r="C6" s="16">
        <v>151.1</v>
      </c>
      <c r="D6" s="17">
        <v>-8.1</v>
      </c>
      <c r="E6" s="17">
        <v>-3</v>
      </c>
      <c r="F6" s="17"/>
      <c r="G6" s="17"/>
      <c r="H6" s="17"/>
      <c r="I6" s="17">
        <v>-15.6</v>
      </c>
      <c r="J6" s="36">
        <f>D6+E6</f>
        <v>-11.1</v>
      </c>
      <c r="K6" s="36"/>
      <c r="L6" s="17"/>
      <c r="M6" s="17">
        <f>-I6+M5</f>
        <v>-99.7</v>
      </c>
      <c r="N6" s="17"/>
      <c r="O6" s="17">
        <f>1+O5</f>
        <v>3</v>
      </c>
    </row>
    <row r="7" ht="21.2" customHeight="1">
      <c r="B7" s="29"/>
      <c r="C7" s="16">
        <v>168.9</v>
      </c>
      <c r="D7" s="17">
        <v>10.3</v>
      </c>
      <c r="E7" s="17">
        <v>7</v>
      </c>
      <c r="F7" s="17"/>
      <c r="G7" s="17"/>
      <c r="H7" s="17"/>
      <c r="I7" s="17">
        <v>-3.8</v>
      </c>
      <c r="J7" s="36">
        <f>D7+E7</f>
        <v>17.3</v>
      </c>
      <c r="K7" s="36"/>
      <c r="L7" s="17"/>
      <c r="M7" s="17">
        <f>-I7+M6</f>
        <v>-95.90000000000001</v>
      </c>
      <c r="N7" s="17"/>
      <c r="O7" s="17">
        <f>1+O6</f>
        <v>4</v>
      </c>
    </row>
    <row r="8" ht="21.2" customHeight="1">
      <c r="B8" s="30">
        <v>2017</v>
      </c>
      <c r="C8" s="16">
        <v>170.3</v>
      </c>
      <c r="D8" s="17">
        <v>41.8</v>
      </c>
      <c r="E8" s="17">
        <v>-29.8</v>
      </c>
      <c r="F8" s="17"/>
      <c r="G8" s="17"/>
      <c r="H8" s="17"/>
      <c r="I8" s="17">
        <v>-6.3</v>
      </c>
      <c r="J8" s="36">
        <f>D8+E8</f>
        <v>12</v>
      </c>
      <c r="K8" s="36">
        <f>AVERAGE(J5:J8)</f>
        <v>-12.8</v>
      </c>
      <c r="L8" s="17"/>
      <c r="M8" s="17">
        <f>-I8+M7</f>
        <v>-89.59999999999999</v>
      </c>
      <c r="N8" s="17"/>
      <c r="O8" s="17">
        <f>1+O7</f>
        <v>5</v>
      </c>
    </row>
    <row r="9" ht="21.2" customHeight="1">
      <c r="B9" s="29"/>
      <c r="C9" s="16">
        <v>169.6</v>
      </c>
      <c r="D9" s="17">
        <v>11.2</v>
      </c>
      <c r="E9" s="17">
        <v>-38.1</v>
      </c>
      <c r="F9" s="17"/>
      <c r="G9" s="17"/>
      <c r="H9" s="17"/>
      <c r="I9" s="17">
        <v>-9.800000000000001</v>
      </c>
      <c r="J9" s="36">
        <f>D9+E9</f>
        <v>-26.9</v>
      </c>
      <c r="K9" s="36">
        <f>AVERAGE(J6:J9)</f>
        <v>-2.175</v>
      </c>
      <c r="L9" s="17"/>
      <c r="M9" s="17">
        <f>-I9+M8</f>
        <v>-79.8</v>
      </c>
      <c r="N9" s="17"/>
      <c r="O9" s="17">
        <f>1+O8</f>
        <v>6</v>
      </c>
    </row>
    <row r="10" ht="21.2" customHeight="1">
      <c r="B10" s="29"/>
      <c r="C10" s="16">
        <v>189.5</v>
      </c>
      <c r="D10" s="17">
        <v>-11.5</v>
      </c>
      <c r="E10" s="17">
        <v>-4.7</v>
      </c>
      <c r="F10" s="17"/>
      <c r="G10" s="17"/>
      <c r="H10" s="17"/>
      <c r="I10" s="17">
        <v>29.3</v>
      </c>
      <c r="J10" s="36">
        <f>D10+E10</f>
        <v>-16.2</v>
      </c>
      <c r="K10" s="36">
        <f>AVERAGE(J7:J10)</f>
        <v>-3.45</v>
      </c>
      <c r="L10" s="17"/>
      <c r="M10" s="17">
        <f>-I10+M9</f>
        <v>-109.1</v>
      </c>
      <c r="N10" s="17"/>
      <c r="O10" s="17">
        <f>1+O9</f>
        <v>7</v>
      </c>
    </row>
    <row r="11" ht="21.2" customHeight="1">
      <c r="B11" s="29"/>
      <c r="C11" s="16">
        <v>184.3</v>
      </c>
      <c r="D11" s="17">
        <v>24.8</v>
      </c>
      <c r="E11" s="17">
        <v>-5.4</v>
      </c>
      <c r="F11" s="17"/>
      <c r="G11" s="17"/>
      <c r="H11" s="17"/>
      <c r="I11" s="17">
        <v>16.7</v>
      </c>
      <c r="J11" s="36">
        <f>D11+E11</f>
        <v>19.4</v>
      </c>
      <c r="K11" s="36">
        <f>AVERAGE(J8:J11)</f>
        <v>-2.925</v>
      </c>
      <c r="L11" s="17"/>
      <c r="M11" s="17">
        <f>-I11+M10</f>
        <v>-125.8</v>
      </c>
      <c r="N11" s="17"/>
      <c r="O11" s="17">
        <f>1+O10</f>
        <v>8</v>
      </c>
    </row>
    <row r="12" ht="21.2" customHeight="1">
      <c r="B12" s="30">
        <v>2018</v>
      </c>
      <c r="C12" s="16">
        <v>207.3</v>
      </c>
      <c r="D12" s="17">
        <v>23.2</v>
      </c>
      <c r="E12" s="17">
        <v>-62</v>
      </c>
      <c r="F12" s="17"/>
      <c r="G12" s="17"/>
      <c r="H12" s="17"/>
      <c r="I12" s="17">
        <v>6.5</v>
      </c>
      <c r="J12" s="36">
        <f>D12+E12</f>
        <v>-38.8</v>
      </c>
      <c r="K12" s="36">
        <f>AVERAGE(J9:J12)</f>
        <v>-15.625</v>
      </c>
      <c r="L12" s="17"/>
      <c r="M12" s="17">
        <f>-I12+M11</f>
        <v>-132.3</v>
      </c>
      <c r="N12" s="17"/>
      <c r="O12" s="17">
        <f>1+O11</f>
        <v>9</v>
      </c>
    </row>
    <row r="13" ht="21.2" customHeight="1">
      <c r="B13" s="29"/>
      <c r="C13" s="16">
        <v>228.5</v>
      </c>
      <c r="D13" s="17">
        <v>43.6</v>
      </c>
      <c r="E13" s="17">
        <v>-47.8</v>
      </c>
      <c r="F13" s="17"/>
      <c r="G13" s="17"/>
      <c r="H13" s="17"/>
      <c r="I13" s="17">
        <v>35</v>
      </c>
      <c r="J13" s="36">
        <f>D13+E13</f>
        <v>-4.2</v>
      </c>
      <c r="K13" s="36">
        <f>AVERAGE(J10:J13)</f>
        <v>-9.949999999999999</v>
      </c>
      <c r="L13" s="17"/>
      <c r="M13" s="17">
        <f>-I13+M12</f>
        <v>-167.3</v>
      </c>
      <c r="N13" s="17"/>
      <c r="O13" s="17">
        <f>1+O12</f>
        <v>10</v>
      </c>
    </row>
    <row r="14" ht="21.2" customHeight="1">
      <c r="B14" s="29"/>
      <c r="C14" s="16">
        <v>202.6</v>
      </c>
      <c r="D14" s="17">
        <v>-8.300000000000001</v>
      </c>
      <c r="E14" s="17">
        <v>-225.3</v>
      </c>
      <c r="F14" s="17"/>
      <c r="G14" s="17"/>
      <c r="H14" s="17"/>
      <c r="I14" s="17">
        <v>348.8</v>
      </c>
      <c r="J14" s="36">
        <f>D14+E14</f>
        <v>-233.6</v>
      </c>
      <c r="K14" s="36">
        <f>AVERAGE(J11:J14)</f>
        <v>-64.3</v>
      </c>
      <c r="L14" s="17"/>
      <c r="M14" s="17">
        <f>-I14+M13</f>
        <v>-516.1</v>
      </c>
      <c r="N14" s="17"/>
      <c r="O14" s="17">
        <f>1+O13</f>
        <v>11</v>
      </c>
    </row>
    <row r="15" ht="21.2" customHeight="1">
      <c r="B15" s="29"/>
      <c r="C15" s="16">
        <v>229.2</v>
      </c>
      <c r="D15" s="17">
        <v>-27.2</v>
      </c>
      <c r="E15" s="17">
        <v>-154.6</v>
      </c>
      <c r="F15" s="17"/>
      <c r="G15" s="17"/>
      <c r="H15" s="17"/>
      <c r="I15" s="17">
        <v>106.6</v>
      </c>
      <c r="J15" s="36">
        <f>D15+E15</f>
        <v>-181.8</v>
      </c>
      <c r="K15" s="36">
        <f>AVERAGE(J12:J15)</f>
        <v>-114.6</v>
      </c>
      <c r="L15" s="17"/>
      <c r="M15" s="17">
        <f>-I15+M14</f>
        <v>-622.7</v>
      </c>
      <c r="N15" s="17"/>
      <c r="O15" s="17">
        <f>1+O14</f>
        <v>12</v>
      </c>
    </row>
    <row r="16" ht="21.2" customHeight="1">
      <c r="B16" s="30">
        <v>2019</v>
      </c>
      <c r="C16" s="16">
        <f t="shared" si="43" ref="C16:C18">516/3</f>
        <v>172</v>
      </c>
      <c r="D16" s="17">
        <v>55.4</v>
      </c>
      <c r="E16" s="17">
        <v>-66.3</v>
      </c>
      <c r="F16" s="17"/>
      <c r="G16" s="17"/>
      <c r="H16" s="17"/>
      <c r="I16" s="17">
        <v>-2.8</v>
      </c>
      <c r="J16" s="36">
        <f>D16+E16</f>
        <v>-10.9</v>
      </c>
      <c r="K16" s="36">
        <f>AVERAGE(J13:J16)</f>
        <v>-107.625</v>
      </c>
      <c r="L16" s="17"/>
      <c r="M16" s="17">
        <f>-I16+M15</f>
        <v>-619.9</v>
      </c>
      <c r="N16" s="17"/>
      <c r="O16" s="17">
        <f>1+O15</f>
        <v>13</v>
      </c>
    </row>
    <row r="17" ht="21.2" customHeight="1">
      <c r="B17" s="29"/>
      <c r="C17" s="16">
        <f t="shared" si="43"/>
        <v>172</v>
      </c>
      <c r="D17" s="17">
        <v>52.4</v>
      </c>
      <c r="E17" s="17">
        <v>-12.1</v>
      </c>
      <c r="F17" s="17"/>
      <c r="G17" s="17"/>
      <c r="H17" s="17"/>
      <c r="I17" s="17">
        <v>-3.4</v>
      </c>
      <c r="J17" s="36">
        <f>D17+E17</f>
        <v>40.3</v>
      </c>
      <c r="K17" s="36">
        <f>AVERAGE(J14:J17)</f>
        <v>-96.5</v>
      </c>
      <c r="L17" s="17"/>
      <c r="M17" s="17">
        <f>-I17+M16</f>
        <v>-616.5</v>
      </c>
      <c r="N17" s="17"/>
      <c r="O17" s="17">
        <f>1+O16</f>
        <v>14</v>
      </c>
    </row>
    <row r="18" ht="21.2" customHeight="1">
      <c r="B18" s="29"/>
      <c r="C18" s="16">
        <f t="shared" si="43"/>
        <v>172</v>
      </c>
      <c r="D18" s="17">
        <v>105.5</v>
      </c>
      <c r="E18" s="17">
        <v>-114.2</v>
      </c>
      <c r="F18" s="17"/>
      <c r="G18" s="17"/>
      <c r="H18" s="17"/>
      <c r="I18" s="17">
        <v>-23.8</v>
      </c>
      <c r="J18" s="36">
        <f>D18+E18</f>
        <v>-8.699999999999999</v>
      </c>
      <c r="K18" s="36">
        <f>AVERAGE(J15:J18)</f>
        <v>-40.275</v>
      </c>
      <c r="L18" s="17"/>
      <c r="M18" s="17">
        <f>-I18+M17</f>
        <v>-592.7</v>
      </c>
      <c r="N18" s="17"/>
      <c r="O18" s="17">
        <f>1+O17</f>
        <v>15</v>
      </c>
    </row>
    <row r="19" ht="21.2" customHeight="1">
      <c r="B19" s="29"/>
      <c r="C19" s="16">
        <v>137.6</v>
      </c>
      <c r="D19" s="17">
        <v>-24.9</v>
      </c>
      <c r="E19" s="17">
        <v>-108.7</v>
      </c>
      <c r="F19" s="17"/>
      <c r="G19" s="17"/>
      <c r="H19" s="17"/>
      <c r="I19" s="17">
        <v>62.8</v>
      </c>
      <c r="J19" s="36">
        <f>D19+E19</f>
        <v>-133.6</v>
      </c>
      <c r="K19" s="36">
        <f>AVERAGE(J16:J19)</f>
        <v>-28.225</v>
      </c>
      <c r="L19" s="17"/>
      <c r="M19" s="17">
        <f>-I19+M18</f>
        <v>-655.5</v>
      </c>
      <c r="N19" s="17"/>
      <c r="O19" s="17">
        <f>1+O18</f>
        <v>16</v>
      </c>
    </row>
    <row r="20" ht="21.2" customHeight="1">
      <c r="B20" s="30">
        <v>2020</v>
      </c>
      <c r="C20" s="16">
        <v>143.8</v>
      </c>
      <c r="D20" s="17">
        <v>18.2</v>
      </c>
      <c r="E20" s="17">
        <v>-3.2</v>
      </c>
      <c r="F20" s="17"/>
      <c r="G20" s="17"/>
      <c r="H20" s="17"/>
      <c r="I20" s="17">
        <v>-4.5</v>
      </c>
      <c r="J20" s="36">
        <f>D20+E20</f>
        <v>15</v>
      </c>
      <c r="K20" s="36">
        <f>AVERAGE(J17:J20)</f>
        <v>-21.75</v>
      </c>
      <c r="L20" s="17"/>
      <c r="M20" s="17">
        <f>-I20+M19</f>
        <v>-651</v>
      </c>
      <c r="N20" s="17"/>
      <c r="O20" s="17">
        <f>1+O19</f>
        <v>17</v>
      </c>
    </row>
    <row r="21" ht="21.2" customHeight="1">
      <c r="B21" s="29"/>
      <c r="C21" s="16">
        <v>101.7</v>
      </c>
      <c r="D21" s="17">
        <v>-3</v>
      </c>
      <c r="E21" s="17">
        <v>-0.3</v>
      </c>
      <c r="F21" s="17"/>
      <c r="G21" s="17"/>
      <c r="H21" s="17"/>
      <c r="I21" s="17">
        <v>-8.300000000000001</v>
      </c>
      <c r="J21" s="36">
        <f>D21+E21</f>
        <v>-3.3</v>
      </c>
      <c r="K21" s="36">
        <f>AVERAGE(J18:J21)</f>
        <v>-32.65</v>
      </c>
      <c r="L21" s="17"/>
      <c r="M21" s="17">
        <f>-I21+M20</f>
        <v>-642.7</v>
      </c>
      <c r="N21" s="17"/>
      <c r="O21" s="17">
        <f>1+O20</f>
        <v>18</v>
      </c>
    </row>
    <row r="22" ht="21.2" customHeight="1">
      <c r="B22" s="29"/>
      <c r="C22" s="16">
        <v>107</v>
      </c>
      <c r="D22" s="17">
        <v>4.1</v>
      </c>
      <c r="E22" s="17">
        <v>-1.1</v>
      </c>
      <c r="F22" s="17"/>
      <c r="G22" s="17"/>
      <c r="H22" s="17"/>
      <c r="I22" s="17">
        <v>-1.1</v>
      </c>
      <c r="J22" s="36">
        <f>D22+E22</f>
        <v>3</v>
      </c>
      <c r="K22" s="36">
        <f>AVERAGE(J19:J22)</f>
        <v>-29.725</v>
      </c>
      <c r="L22" s="17"/>
      <c r="M22" s="17">
        <f>-I22+M21</f>
        <v>-641.6</v>
      </c>
      <c r="N22" s="17"/>
      <c r="O22" s="17">
        <f>1+O21</f>
        <v>19</v>
      </c>
    </row>
    <row r="23" ht="21.2" customHeight="1">
      <c r="B23" s="29"/>
      <c r="C23" s="37">
        <f>486-SUM(C20:C22)</f>
        <v>133.5</v>
      </c>
      <c r="D23" s="36">
        <f>24.68-SUM(D20:D22)</f>
        <v>5.38</v>
      </c>
      <c r="E23" s="36">
        <f>-5.99-SUM(E20:E22)</f>
        <v>-1.39</v>
      </c>
      <c r="F23" s="36"/>
      <c r="G23" s="36"/>
      <c r="H23" s="36"/>
      <c r="I23" s="36">
        <f>-15.22-SUM(I20:I22)</f>
        <v>-1.32</v>
      </c>
      <c r="J23" s="36">
        <f>D23+E23</f>
        <v>3.99</v>
      </c>
      <c r="K23" s="36">
        <f>AVERAGE(J20:J23)</f>
        <v>4.6725</v>
      </c>
      <c r="L23" s="17"/>
      <c r="M23" s="17">
        <f>-I23+M22</f>
        <v>-640.28</v>
      </c>
      <c r="N23" s="17"/>
      <c r="O23" s="17">
        <f>1+O22</f>
        <v>20</v>
      </c>
    </row>
    <row r="24" ht="21.2" customHeight="1">
      <c r="B24" s="30">
        <v>2021</v>
      </c>
      <c r="C24" s="37">
        <v>157.1</v>
      </c>
      <c r="D24" s="36">
        <v>-5.5</v>
      </c>
      <c r="E24" s="36">
        <v>-3.7</v>
      </c>
      <c r="F24" s="17"/>
      <c r="G24" s="17">
        <f>I24-H24</f>
        <v>-6.4</v>
      </c>
      <c r="H24" s="17">
        <v>1199.9</v>
      </c>
      <c r="I24" s="17">
        <f>1193.5</f>
        <v>1193.5</v>
      </c>
      <c r="J24" s="36">
        <f>D24+E24</f>
        <v>-9.199999999999999</v>
      </c>
      <c r="K24" s="36">
        <f>AVERAGE(J21:J24)</f>
        <v>-1.3775</v>
      </c>
      <c r="L24" s="17"/>
      <c r="M24" s="17">
        <f>-(G24+H24)+M23</f>
        <v>-1833.78</v>
      </c>
      <c r="N24" s="17"/>
      <c r="O24" s="17">
        <f>1+O23</f>
        <v>21</v>
      </c>
    </row>
    <row r="25" ht="21.2" customHeight="1">
      <c r="B25" s="29"/>
      <c r="C25" s="37">
        <f>341.6-C24</f>
        <v>184.5</v>
      </c>
      <c r="D25" s="36">
        <f>-51.2-D24</f>
        <v>-45.7</v>
      </c>
      <c r="E25" s="36">
        <f>-18.1-E24</f>
        <v>-14.4</v>
      </c>
      <c r="F25" s="17"/>
      <c r="G25" s="17">
        <f>I25-H25</f>
        <v>-1031.5</v>
      </c>
      <c r="H25" s="17">
        <f>1199.9-H24</f>
        <v>0</v>
      </c>
      <c r="I25" s="17">
        <f>162-I24</f>
        <v>-1031.5</v>
      </c>
      <c r="J25" s="36">
        <f>D25+E25</f>
        <v>-60.1</v>
      </c>
      <c r="K25" s="36">
        <f>AVERAGE(J22:J25)</f>
        <v>-15.5775</v>
      </c>
      <c r="L25" s="17"/>
      <c r="M25" s="17">
        <f>-(G25+H25)+M24</f>
        <v>-802.28</v>
      </c>
      <c r="N25" s="17"/>
      <c r="O25" s="17">
        <f>1+O24</f>
        <v>22</v>
      </c>
    </row>
    <row r="26" ht="21.2" customHeight="1">
      <c r="B26" s="29"/>
      <c r="C26" s="37">
        <f>864.6-SUM(C24:C25)</f>
        <v>523</v>
      </c>
      <c r="D26" s="36">
        <f>109.9-SUM(D24:D25)</f>
        <v>161.1</v>
      </c>
      <c r="E26" s="17">
        <f>-1771.9-SUM(E24:E25)</f>
        <v>-1753.8</v>
      </c>
      <c r="F26" s="17"/>
      <c r="G26" s="17">
        <f>I26-H26</f>
        <v>-132.4</v>
      </c>
      <c r="H26" s="17">
        <f>3699.8-SUM(H24:H25)</f>
        <v>2499.9</v>
      </c>
      <c r="I26" s="17">
        <f>2529.5-SUM(I24:I25)</f>
        <v>2367.5</v>
      </c>
      <c r="J26" s="17">
        <f>D26+E26</f>
        <v>-1592.7</v>
      </c>
      <c r="K26" s="36">
        <f>AVERAGE(J23:J26)</f>
        <v>-414.5025</v>
      </c>
      <c r="L26" s="17"/>
      <c r="M26" s="17">
        <f>-(G26+H26)+M25</f>
        <v>-3169.78</v>
      </c>
      <c r="N26" s="17"/>
      <c r="O26" s="17">
        <f>1+O25</f>
        <v>23</v>
      </c>
    </row>
    <row r="27" ht="21.2" customHeight="1">
      <c r="B27" s="29"/>
      <c r="C27" s="37">
        <f>1280.9-SUM(C24:C26)</f>
        <v>416.3</v>
      </c>
      <c r="D27" s="36">
        <f>253.7-SUM(D24:D26)</f>
        <v>143.8</v>
      </c>
      <c r="E27" s="17">
        <f>-2194.1-SUM(E24:E26)</f>
        <v>-422.2</v>
      </c>
      <c r="F27" s="17"/>
      <c r="G27" s="17">
        <f>I27-H27</f>
        <v>-23.5</v>
      </c>
      <c r="H27" s="17">
        <f>3692.9+16-SUM(H24:H26)</f>
        <v>9.1</v>
      </c>
      <c r="I27" s="17">
        <f>2515.1-SUM(I24:I26)</f>
        <v>-14.4</v>
      </c>
      <c r="J27" s="17">
        <f>D27+E27</f>
        <v>-278.4</v>
      </c>
      <c r="K27" s="36">
        <f>AVERAGE(J24:J27)</f>
        <v>-485.1</v>
      </c>
      <c r="L27" s="17"/>
      <c r="M27" s="17">
        <f>-(G27+H27)+M26</f>
        <v>-3155.38</v>
      </c>
      <c r="N27" s="17"/>
      <c r="O27" s="17">
        <f>1+O26</f>
        <v>24</v>
      </c>
    </row>
    <row r="28" ht="21.2" customHeight="1">
      <c r="B28" s="30">
        <v>2022</v>
      </c>
      <c r="C28" s="37">
        <v>303</v>
      </c>
      <c r="D28" s="36">
        <v>-30.6</v>
      </c>
      <c r="E28" s="17">
        <v>-227</v>
      </c>
      <c r="F28" s="17">
        <v>-2</v>
      </c>
      <c r="G28" s="17">
        <v>95</v>
      </c>
      <c r="H28" s="17">
        <v>0</v>
      </c>
      <c r="I28" s="17">
        <v>93.3</v>
      </c>
      <c r="J28" s="17">
        <f>D28+E28</f>
        <v>-257.6</v>
      </c>
      <c r="K28" s="36">
        <f>AVERAGE(J25:J28)</f>
        <v>-547.2</v>
      </c>
      <c r="L28" s="17">
        <v>-56.998515138314</v>
      </c>
      <c r="M28" s="17">
        <f>-(G28+H28)+M27</f>
        <v>-3250.38</v>
      </c>
      <c r="N28" s="17">
        <v>-3404.234924034150</v>
      </c>
      <c r="O28" s="17">
        <f>1+O27</f>
        <v>25</v>
      </c>
    </row>
    <row r="29" ht="21.2" customHeight="1">
      <c r="B29" s="29"/>
      <c r="C29" s="37"/>
      <c r="D29" s="36"/>
      <c r="E29" s="17"/>
      <c r="F29" s="17"/>
      <c r="G29" s="17"/>
      <c r="H29" s="17"/>
      <c r="I29" s="17"/>
      <c r="J29" s="17"/>
      <c r="K29" s="20"/>
      <c r="L29" s="36">
        <f>SUM('Model'!F9:F10)</f>
        <v>-55.219048979914</v>
      </c>
      <c r="M29" s="20"/>
      <c r="N29" s="17">
        <f>'Model'!F33</f>
        <v>-3482.699049085490</v>
      </c>
      <c r="O29" s="17"/>
    </row>
  </sheetData>
  <mergeCells count="1">
    <mergeCell ref="B2:O2"/>
  </mergeCells>
  <pageMargins left="0.5" right="0.5" top="0.75" bottom="0.75" header="0.277778" footer="0.277778"/>
  <pageSetup firstPageNumber="1" fitToHeight="1" fitToWidth="1" scale="72" useFirstPageNumber="0" orientation="portrait" pageOrder="downThenOver"/>
  <headerFooter>
    <oddFooter>&amp;C&amp;"Helvetica Neue,Regular"&amp;12&amp;K000000&amp;P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dimension ref="B3:K30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4.96875" style="38" customWidth="1"/>
    <col min="2" max="11" width="9.21875" style="38" customWidth="1"/>
    <col min="12" max="16384" width="16.3516" style="38" customWidth="1"/>
  </cols>
  <sheetData>
    <row r="1" ht="7.55" customHeight="1"/>
    <row r="2" ht="27.65" customHeight="1">
      <c r="B2" t="s" s="2">
        <v>21</v>
      </c>
      <c r="C2" s="2"/>
      <c r="D2" s="2"/>
      <c r="E2" s="2"/>
      <c r="F2" s="2"/>
      <c r="G2" s="2"/>
      <c r="H2" s="2"/>
      <c r="I2" s="2"/>
      <c r="J2" s="2"/>
      <c r="K2" s="2"/>
    </row>
    <row r="3" ht="32.25" customHeight="1">
      <c r="B3" t="s" s="6">
        <v>50</v>
      </c>
      <c r="C3" t="s" s="6">
        <v>51</v>
      </c>
      <c r="D3" t="s" s="6">
        <v>52</v>
      </c>
      <c r="E3" t="s" s="6">
        <v>22</v>
      </c>
      <c r="F3" t="s" s="6">
        <v>23</v>
      </c>
      <c r="G3" t="s" s="6">
        <v>11</v>
      </c>
      <c r="H3" t="s" s="6">
        <v>14</v>
      </c>
      <c r="I3" t="s" s="6">
        <v>53</v>
      </c>
      <c r="J3" t="s" s="6">
        <v>26</v>
      </c>
      <c r="K3" t="s" s="6">
        <v>34</v>
      </c>
    </row>
    <row r="4" ht="20.25" customHeight="1">
      <c r="B4" s="25">
        <v>2016</v>
      </c>
      <c r="C4" s="26">
        <v>56</v>
      </c>
      <c r="D4" s="27">
        <v>1271</v>
      </c>
      <c r="E4" s="27">
        <f>D4-C4</f>
        <v>1215</v>
      </c>
      <c r="F4" s="27">
        <v>256</v>
      </c>
      <c r="G4" s="27">
        <v>505</v>
      </c>
      <c r="H4" s="27">
        <v>766</v>
      </c>
      <c r="I4" s="27">
        <f>G4+H4-C4-E4</f>
        <v>0</v>
      </c>
      <c r="J4" s="27">
        <f>C4-G4</f>
        <v>-449</v>
      </c>
      <c r="K4" s="27"/>
    </row>
    <row r="5" ht="20.05" customHeight="1">
      <c r="B5" s="29"/>
      <c r="C5" s="16">
        <v>59</v>
      </c>
      <c r="D5" s="17">
        <v>1354</v>
      </c>
      <c r="E5" s="17">
        <f>D5-C5</f>
        <v>1295</v>
      </c>
      <c r="F5" s="17">
        <v>290</v>
      </c>
      <c r="G5" s="17">
        <v>622</v>
      </c>
      <c r="H5" s="17">
        <v>732</v>
      </c>
      <c r="I5" s="17">
        <f>G5+H5-C5-E5</f>
        <v>0</v>
      </c>
      <c r="J5" s="17">
        <f>C5-G5</f>
        <v>-563</v>
      </c>
      <c r="K5" s="17"/>
    </row>
    <row r="6" ht="20.05" customHeight="1">
      <c r="B6" s="29"/>
      <c r="C6" s="16">
        <v>33</v>
      </c>
      <c r="D6" s="17">
        <v>1330</v>
      </c>
      <c r="E6" s="17">
        <f>D6-C6</f>
        <v>1297</v>
      </c>
      <c r="F6" s="17">
        <v>316</v>
      </c>
      <c r="G6" s="17">
        <v>590</v>
      </c>
      <c r="H6" s="17">
        <v>740</v>
      </c>
      <c r="I6" s="17">
        <f>G6+H6-C6-E6</f>
        <v>0</v>
      </c>
      <c r="J6" s="17">
        <f>C6-G6</f>
        <v>-557</v>
      </c>
      <c r="K6" s="17"/>
    </row>
    <row r="7" ht="20.05" customHeight="1">
      <c r="B7" s="29"/>
      <c r="C7" s="16">
        <v>46</v>
      </c>
      <c r="D7" s="17">
        <v>1452</v>
      </c>
      <c r="E7" s="17">
        <f>D7-C7</f>
        <v>1406</v>
      </c>
      <c r="F7" s="17">
        <v>308</v>
      </c>
      <c r="G7" s="17">
        <v>601</v>
      </c>
      <c r="H7" s="17">
        <v>851</v>
      </c>
      <c r="I7" s="17">
        <f>G7+H7-C7-E7</f>
        <v>0</v>
      </c>
      <c r="J7" s="17">
        <f>C7-G7</f>
        <v>-555</v>
      </c>
      <c r="K7" s="17"/>
    </row>
    <row r="8" ht="20.05" customHeight="1">
      <c r="B8" s="30">
        <v>2017</v>
      </c>
      <c r="C8" s="16">
        <v>52</v>
      </c>
      <c r="D8" s="17">
        <v>1484</v>
      </c>
      <c r="E8" s="17">
        <f>D8-C8</f>
        <v>1432</v>
      </c>
      <c r="F8" s="17">
        <v>324</v>
      </c>
      <c r="G8" s="17">
        <v>611</v>
      </c>
      <c r="H8" s="17">
        <v>873</v>
      </c>
      <c r="I8" s="17">
        <f>G8+H8-C8-E8</f>
        <v>0</v>
      </c>
      <c r="J8" s="17">
        <f>C8-G8</f>
        <v>-559</v>
      </c>
      <c r="K8" s="17"/>
    </row>
    <row r="9" ht="20.05" customHeight="1">
      <c r="B9" s="29"/>
      <c r="C9" s="16">
        <v>15</v>
      </c>
      <c r="D9" s="17">
        <v>1499</v>
      </c>
      <c r="E9" s="17">
        <f>D9-C9</f>
        <v>1484</v>
      </c>
      <c r="F9" s="17">
        <v>341</v>
      </c>
      <c r="G9" s="17">
        <v>605</v>
      </c>
      <c r="H9" s="17">
        <v>894</v>
      </c>
      <c r="I9" s="17">
        <f>G9+H9-C9-E9</f>
        <v>0</v>
      </c>
      <c r="J9" s="17">
        <f>C9-G9</f>
        <v>-590</v>
      </c>
      <c r="K9" s="17"/>
    </row>
    <row r="10" ht="20.05" customHeight="1">
      <c r="B10" s="29"/>
      <c r="C10" s="16">
        <v>28</v>
      </c>
      <c r="D10" s="17">
        <v>1524</v>
      </c>
      <c r="E10" s="17">
        <f>D10-C10</f>
        <v>1496</v>
      </c>
      <c r="F10" s="17">
        <v>357</v>
      </c>
      <c r="G10" s="17">
        <v>606</v>
      </c>
      <c r="H10" s="17">
        <v>918</v>
      </c>
      <c r="I10" s="17">
        <f>G10+H10-C10-E10</f>
        <v>0</v>
      </c>
      <c r="J10" s="17">
        <f>C10-G10</f>
        <v>-578</v>
      </c>
      <c r="K10" s="17"/>
    </row>
    <row r="11" ht="20.05" customHeight="1">
      <c r="B11" s="29"/>
      <c r="C11" s="16">
        <v>64</v>
      </c>
      <c r="D11" s="17">
        <v>1715</v>
      </c>
      <c r="E11" s="17">
        <f>D11-C11</f>
        <v>1651</v>
      </c>
      <c r="F11" s="17">
        <v>376</v>
      </c>
      <c r="G11" s="17">
        <v>673</v>
      </c>
      <c r="H11" s="17">
        <v>1042</v>
      </c>
      <c r="I11" s="17">
        <f>G11+H11-C11-E11</f>
        <v>0</v>
      </c>
      <c r="J11" s="17">
        <f>C11-G11</f>
        <v>-609</v>
      </c>
      <c r="K11" s="17"/>
    </row>
    <row r="12" ht="20.05" customHeight="1">
      <c r="B12" s="30">
        <v>2018</v>
      </c>
      <c r="C12" s="16">
        <v>32</v>
      </c>
      <c r="D12" s="17">
        <v>1755</v>
      </c>
      <c r="E12" s="17">
        <f>D12-C12</f>
        <v>1723</v>
      </c>
      <c r="F12" s="17">
        <v>398</v>
      </c>
      <c r="G12" s="17">
        <v>692</v>
      </c>
      <c r="H12" s="17">
        <v>1063</v>
      </c>
      <c r="I12" s="17">
        <f>G12+H12-C12-E12</f>
        <v>0</v>
      </c>
      <c r="J12" s="17">
        <f>C12-G12</f>
        <v>-660</v>
      </c>
      <c r="K12" s="17"/>
    </row>
    <row r="13" ht="20.05" customHeight="1">
      <c r="B13" s="29"/>
      <c r="C13" s="16">
        <v>63</v>
      </c>
      <c r="D13" s="17">
        <v>1823</v>
      </c>
      <c r="E13" s="17">
        <f>D13-C13</f>
        <v>1760</v>
      </c>
      <c r="F13" s="17">
        <v>417</v>
      </c>
      <c r="G13" s="17">
        <v>743</v>
      </c>
      <c r="H13" s="17">
        <v>1080</v>
      </c>
      <c r="I13" s="17">
        <f>G13+H13-C13-E13</f>
        <v>0</v>
      </c>
      <c r="J13" s="17">
        <f>C13-G13</f>
        <v>-680</v>
      </c>
      <c r="K13" s="17"/>
    </row>
    <row r="14" ht="20.05" customHeight="1">
      <c r="B14" s="29"/>
      <c r="C14" s="16">
        <v>178</v>
      </c>
      <c r="D14" s="17">
        <v>2180</v>
      </c>
      <c r="E14" s="17">
        <f>D14-C14</f>
        <v>2002</v>
      </c>
      <c r="F14" s="17">
        <v>441</v>
      </c>
      <c r="G14" s="17">
        <v>1097</v>
      </c>
      <c r="H14" s="17">
        <v>1083</v>
      </c>
      <c r="I14" s="17">
        <f>G14+H14-C14-E14</f>
        <v>0</v>
      </c>
      <c r="J14" s="17">
        <f>C14-G14</f>
        <v>-919</v>
      </c>
      <c r="K14" s="17"/>
    </row>
    <row r="15" ht="20.05" customHeight="1">
      <c r="B15" s="29"/>
      <c r="C15" s="16">
        <v>103</v>
      </c>
      <c r="D15" s="17">
        <v>2529</v>
      </c>
      <c r="E15" s="17">
        <f>D15-C15</f>
        <v>2426</v>
      </c>
      <c r="F15" s="17">
        <v>472</v>
      </c>
      <c r="G15" s="17">
        <v>1203</v>
      </c>
      <c r="H15" s="17">
        <v>1326</v>
      </c>
      <c r="I15" s="17">
        <f>G15+H15-C15-E15</f>
        <v>0</v>
      </c>
      <c r="J15" s="17">
        <f>C15-G15</f>
        <v>-1100</v>
      </c>
      <c r="K15" s="17"/>
    </row>
    <row r="16" ht="20.05" customHeight="1">
      <c r="B16" s="30">
        <v>2019</v>
      </c>
      <c r="C16" s="16">
        <v>89</v>
      </c>
      <c r="D16" s="17">
        <v>2560</v>
      </c>
      <c r="E16" s="17">
        <f>D16-C16</f>
        <v>2471</v>
      </c>
      <c r="F16" s="17">
        <f>F15+'Sales'!E15</f>
        <v>510.4</v>
      </c>
      <c r="G16" s="17">
        <v>1230</v>
      </c>
      <c r="H16" s="17">
        <v>1330</v>
      </c>
      <c r="I16" s="17">
        <f>G16+H16-C16-E16</f>
        <v>0</v>
      </c>
      <c r="J16" s="17">
        <f>C16-G16</f>
        <v>-1141</v>
      </c>
      <c r="K16" s="17"/>
    </row>
    <row r="17" ht="20.05" customHeight="1">
      <c r="B17" s="29"/>
      <c r="C17" s="16">
        <v>126</v>
      </c>
      <c r="D17" s="17">
        <v>2533</v>
      </c>
      <c r="E17" s="17">
        <f>D17-C17</f>
        <v>2407</v>
      </c>
      <c r="F17" s="17">
        <v>546</v>
      </c>
      <c r="G17" s="17">
        <v>1202</v>
      </c>
      <c r="H17" s="17">
        <v>1331</v>
      </c>
      <c r="I17" s="17">
        <f>G17+H17-C17-E17</f>
        <v>0</v>
      </c>
      <c r="J17" s="17">
        <f>C17-G17</f>
        <v>-1076</v>
      </c>
      <c r="K17" s="17"/>
    </row>
    <row r="18" ht="20.05" customHeight="1">
      <c r="B18" s="29"/>
      <c r="C18" s="16">
        <v>94</v>
      </c>
      <c r="D18" s="17">
        <v>2235</v>
      </c>
      <c r="E18" s="17">
        <f>D18-C18</f>
        <v>2141</v>
      </c>
      <c r="F18" s="17">
        <v>530</v>
      </c>
      <c r="G18" s="17">
        <v>1235</v>
      </c>
      <c r="H18" s="17">
        <v>1000</v>
      </c>
      <c r="I18" s="17">
        <f>G18+H18-C18-E18</f>
        <v>0</v>
      </c>
      <c r="J18" s="17">
        <f>C18-G18</f>
        <v>-1141</v>
      </c>
      <c r="K18" s="17"/>
    </row>
    <row r="19" ht="20.05" customHeight="1">
      <c r="B19" s="29"/>
      <c r="C19" s="16">
        <v>23</v>
      </c>
      <c r="D19" s="17">
        <v>2233</v>
      </c>
      <c r="E19" s="17">
        <f>D19-C19</f>
        <v>2210</v>
      </c>
      <c r="F19" s="17">
        <v>552</v>
      </c>
      <c r="G19" s="17">
        <v>1255</v>
      </c>
      <c r="H19" s="17">
        <v>978</v>
      </c>
      <c r="I19" s="17">
        <f>G19+H19-C19-E19</f>
        <v>0</v>
      </c>
      <c r="J19" s="17">
        <f>C19-G19</f>
        <v>-1232</v>
      </c>
      <c r="K19" s="17"/>
    </row>
    <row r="20" ht="20.05" customHeight="1">
      <c r="B20" s="30">
        <v>2020</v>
      </c>
      <c r="C20" s="16">
        <v>33</v>
      </c>
      <c r="D20" s="17">
        <v>2225</v>
      </c>
      <c r="E20" s="17">
        <f>D20-C20</f>
        <v>2192</v>
      </c>
      <c r="F20" s="17">
        <v>571</v>
      </c>
      <c r="G20" s="17">
        <v>1265</v>
      </c>
      <c r="H20" s="17">
        <v>960</v>
      </c>
      <c r="I20" s="17">
        <f>G20+H20-C20-E20</f>
        <v>0</v>
      </c>
      <c r="J20" s="17">
        <f>C20-G20</f>
        <v>-1232</v>
      </c>
      <c r="K20" s="17"/>
    </row>
    <row r="21" ht="20.05" customHeight="1">
      <c r="B21" s="29"/>
      <c r="C21" s="16">
        <v>22</v>
      </c>
      <c r="D21" s="17">
        <v>2165</v>
      </c>
      <c r="E21" s="17">
        <f>D21-C21</f>
        <v>2143</v>
      </c>
      <c r="F21" s="17">
        <v>590</v>
      </c>
      <c r="G21" s="17">
        <v>1235</v>
      </c>
      <c r="H21" s="17">
        <v>930</v>
      </c>
      <c r="I21" s="17">
        <f>G21+H21-C21-E21</f>
        <v>0</v>
      </c>
      <c r="J21" s="17">
        <f>C21-G21</f>
        <v>-1213</v>
      </c>
      <c r="K21" s="17"/>
    </row>
    <row r="22" ht="20.05" customHeight="1">
      <c r="B22" s="29"/>
      <c r="C22" s="16">
        <v>23</v>
      </c>
      <c r="D22" s="17">
        <v>1829</v>
      </c>
      <c r="E22" s="17">
        <f>D22-C22</f>
        <v>1806</v>
      </c>
      <c r="F22" s="17">
        <v>611</v>
      </c>
      <c r="G22" s="17">
        <v>1272</v>
      </c>
      <c r="H22" s="17">
        <v>557</v>
      </c>
      <c r="I22" s="17">
        <f>G22+H22-C22-E22</f>
        <v>0</v>
      </c>
      <c r="J22" s="17">
        <f>C22-G22</f>
        <v>-1249</v>
      </c>
      <c r="K22" s="17"/>
    </row>
    <row r="23" ht="20.05" customHeight="1">
      <c r="B23" s="29"/>
      <c r="C23" s="16">
        <v>26</v>
      </c>
      <c r="D23" s="17">
        <v>1890</v>
      </c>
      <c r="E23" s="17">
        <f>D23-C23</f>
        <v>1864</v>
      </c>
      <c r="F23" s="17">
        <v>646</v>
      </c>
      <c r="G23" s="17">
        <v>1344</v>
      </c>
      <c r="H23" s="17">
        <v>546</v>
      </c>
      <c r="I23" s="17">
        <f>G23+H23-C23-E23</f>
        <v>0</v>
      </c>
      <c r="J23" s="17">
        <f>C23-G23</f>
        <v>-1318</v>
      </c>
      <c r="K23" s="17"/>
    </row>
    <row r="24" ht="20.05" customHeight="1">
      <c r="B24" s="30">
        <v>2021</v>
      </c>
      <c r="C24" s="16">
        <v>1210</v>
      </c>
      <c r="D24" s="17">
        <v>3131</v>
      </c>
      <c r="E24" s="17">
        <f>D24-C24</f>
        <v>1921</v>
      </c>
      <c r="F24" s="17">
        <f>665.6</f>
        <v>665.6</v>
      </c>
      <c r="G24" s="17">
        <v>1349</v>
      </c>
      <c r="H24" s="17">
        <v>1782</v>
      </c>
      <c r="I24" s="17">
        <f>G24+H24-C24-E24</f>
        <v>0</v>
      </c>
      <c r="J24" s="17">
        <f>C24-G24</f>
        <v>-139</v>
      </c>
      <c r="K24" s="17"/>
    </row>
    <row r="25" ht="20.05" customHeight="1">
      <c r="B25" s="29"/>
      <c r="C25" s="16">
        <v>119</v>
      </c>
      <c r="D25" s="17">
        <v>2068</v>
      </c>
      <c r="E25" s="17">
        <f>D25-C25</f>
        <v>1949</v>
      </c>
      <c r="F25" s="17">
        <v>684</v>
      </c>
      <c r="G25" s="17">
        <v>227</v>
      </c>
      <c r="H25" s="17">
        <v>1841</v>
      </c>
      <c r="I25" s="17">
        <f>G25+H25-C25-E25</f>
        <v>0</v>
      </c>
      <c r="J25" s="17">
        <f>C25-G25</f>
        <v>-108</v>
      </c>
      <c r="K25" s="17"/>
    </row>
    <row r="26" ht="8.35" customHeight="1" hidden="1">
      <c r="B26" s="29"/>
      <c r="C26" s="16"/>
      <c r="D26" s="17"/>
      <c r="E26" s="17">
        <f>D26-C26</f>
        <v>0</v>
      </c>
      <c r="F26" s="17"/>
      <c r="G26" s="17"/>
      <c r="H26" s="17"/>
      <c r="I26" s="17">
        <f>G26+H26-C26-E26</f>
        <v>0</v>
      </c>
      <c r="J26" s="17">
        <f>C26-G26</f>
        <v>0</v>
      </c>
      <c r="K26" s="17"/>
    </row>
    <row r="27" ht="20.05" customHeight="1">
      <c r="B27" s="29"/>
      <c r="C27" s="16">
        <v>918</v>
      </c>
      <c r="D27" s="17">
        <v>4528</v>
      </c>
      <c r="E27" s="17">
        <f>D27-C27</f>
        <v>3610</v>
      </c>
      <c r="F27" s="17">
        <f>974</f>
        <v>974</v>
      </c>
      <c r="G27" s="17">
        <v>306</v>
      </c>
      <c r="H27" s="17">
        <v>4222</v>
      </c>
      <c r="I27" s="17">
        <f>G27+H27-C27-E27</f>
        <v>0</v>
      </c>
      <c r="J27" s="17">
        <f>C27-G27</f>
        <v>612</v>
      </c>
      <c r="K27" s="17"/>
    </row>
    <row r="28" ht="20.05" customHeight="1">
      <c r="B28" s="29"/>
      <c r="C28" s="16">
        <v>625</v>
      </c>
      <c r="D28" s="17">
        <v>4949</v>
      </c>
      <c r="E28" s="17">
        <f>D28-C28</f>
        <v>4324</v>
      </c>
      <c r="F28" s="17">
        <v>1039</v>
      </c>
      <c r="G28" s="17">
        <v>517</v>
      </c>
      <c r="H28" s="17">
        <v>4432</v>
      </c>
      <c r="I28" s="17">
        <f>G28+H28-C28-E28</f>
        <v>0</v>
      </c>
      <c r="J28" s="17">
        <f>C28-G28</f>
        <v>108</v>
      </c>
      <c r="K28" s="17"/>
    </row>
    <row r="29" ht="20.05" customHeight="1">
      <c r="B29" s="30">
        <v>2022</v>
      </c>
      <c r="C29" s="16">
        <f>C28+'Cashflow '!D28+'Cashflow '!E28+'Cashflow '!I28</f>
        <v>460.7</v>
      </c>
      <c r="D29" s="17">
        <v>4786</v>
      </c>
      <c r="E29" s="17">
        <f>D29-C29</f>
        <v>4325.3</v>
      </c>
      <c r="F29" s="17">
        <f>F28+'Sales'!E27</f>
        <v>1089</v>
      </c>
      <c r="G29" s="17">
        <v>566</v>
      </c>
      <c r="H29" s="17">
        <f>D29-G29</f>
        <v>4220</v>
      </c>
      <c r="I29" s="17">
        <f>G29+H29-C29-E29</f>
        <v>0</v>
      </c>
      <c r="J29" s="17">
        <f>C29-G29</f>
        <v>-105.3</v>
      </c>
      <c r="K29" s="17">
        <v>-181.647946823899</v>
      </c>
    </row>
    <row r="30" ht="20.05" customHeight="1">
      <c r="B30" s="29"/>
      <c r="C30" s="16"/>
      <c r="D30" s="17"/>
      <c r="E30" s="17"/>
      <c r="F30" s="17"/>
      <c r="G30" s="17"/>
      <c r="H30" s="17"/>
      <c r="I30" s="17"/>
      <c r="J30" s="17"/>
      <c r="K30" s="17">
        <f>'Model'!F31</f>
        <v>-337.619049085487</v>
      </c>
    </row>
  </sheetData>
  <mergeCells count="1">
    <mergeCell ref="B2:K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dimension ref="B3:F31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10.2578" style="39" customWidth="1"/>
    <col min="2" max="2" width="9.9375" style="39" customWidth="1"/>
    <col min="3" max="3" hidden="1" width="16.3333" style="39" customWidth="1"/>
    <col min="4" max="6" width="9.9375" style="39" customWidth="1"/>
    <col min="7" max="16384" width="16.3516" style="39" customWidth="1"/>
  </cols>
  <sheetData>
    <row r="1" ht="30.75" customHeight="1"/>
    <row r="2" ht="27.65" customHeight="1">
      <c r="B2" t="s" s="2">
        <v>54</v>
      </c>
      <c r="C2" s="2"/>
      <c r="D2" s="2"/>
      <c r="E2" s="2"/>
      <c r="F2" s="2"/>
    </row>
    <row r="3" ht="20.25" customHeight="1">
      <c r="B3" s="5"/>
      <c r="C3" t="s" s="40">
        <v>55</v>
      </c>
      <c r="D3" t="s" s="40">
        <v>56</v>
      </c>
      <c r="E3" t="s" s="40">
        <v>37</v>
      </c>
      <c r="F3" t="s" s="40">
        <v>57</v>
      </c>
    </row>
    <row r="4" ht="20.25" customHeight="1">
      <c r="B4" s="25">
        <v>2016</v>
      </c>
      <c r="C4" s="41">
        <v>30.46</v>
      </c>
      <c r="D4" s="42">
        <v>538</v>
      </c>
      <c r="E4" s="9"/>
      <c r="F4" s="9"/>
    </row>
    <row r="5" ht="20.05" customHeight="1">
      <c r="B5" s="29"/>
      <c r="C5" s="43">
        <v>43.99</v>
      </c>
      <c r="D5" s="44">
        <v>576</v>
      </c>
      <c r="E5" s="20"/>
      <c r="F5" s="20"/>
    </row>
    <row r="6" ht="20.05" customHeight="1">
      <c r="B6" s="29"/>
      <c r="C6" s="43">
        <v>42.85</v>
      </c>
      <c r="D6" s="44">
        <v>564</v>
      </c>
      <c r="E6" s="20"/>
      <c r="F6" s="20"/>
    </row>
    <row r="7" ht="20.05" customHeight="1">
      <c r="B7" s="29"/>
      <c r="C7" s="43">
        <v>50.58</v>
      </c>
      <c r="D7" s="44">
        <v>560</v>
      </c>
      <c r="E7" s="20"/>
      <c r="F7" s="20"/>
    </row>
    <row r="8" ht="20.05" customHeight="1">
      <c r="B8" s="30">
        <v>2017</v>
      </c>
      <c r="C8" s="43">
        <v>26.82</v>
      </c>
      <c r="D8" s="44">
        <v>502</v>
      </c>
      <c r="E8" s="20"/>
      <c r="F8" s="20"/>
    </row>
    <row r="9" ht="20.05" customHeight="1">
      <c r="B9" s="29"/>
      <c r="C9" s="43">
        <v>20.32</v>
      </c>
      <c r="D9" s="44">
        <v>560</v>
      </c>
      <c r="E9" s="20"/>
      <c r="F9" s="20"/>
    </row>
    <row r="10" ht="20.05" customHeight="1">
      <c r="B10" s="29"/>
      <c r="C10" s="43">
        <v>74.02</v>
      </c>
      <c r="D10" s="44">
        <v>438</v>
      </c>
      <c r="E10" s="20"/>
      <c r="F10" s="20"/>
    </row>
    <row r="11" ht="20.05" customHeight="1">
      <c r="B11" s="29"/>
      <c r="C11" s="43">
        <v>49.28</v>
      </c>
      <c r="D11" s="44">
        <v>570</v>
      </c>
      <c r="E11" s="20"/>
      <c r="F11" s="20"/>
    </row>
    <row r="12" ht="20.05" customHeight="1">
      <c r="B12" s="30">
        <v>2018</v>
      </c>
      <c r="C12" s="43">
        <v>66.54000000000001</v>
      </c>
      <c r="D12" s="44">
        <v>550</v>
      </c>
      <c r="E12" s="20"/>
      <c r="F12" s="20"/>
    </row>
    <row r="13" ht="20.05" customHeight="1">
      <c r="B13" s="29"/>
      <c r="C13" s="43">
        <v>25.62</v>
      </c>
      <c r="D13" s="44">
        <v>560</v>
      </c>
      <c r="E13" s="20"/>
      <c r="F13" s="20"/>
    </row>
    <row r="14" ht="20.05" customHeight="1">
      <c r="B14" s="29"/>
      <c r="C14" s="43">
        <v>31</v>
      </c>
      <c r="D14" s="44">
        <v>545</v>
      </c>
      <c r="E14" s="20"/>
      <c r="F14" s="20"/>
    </row>
    <row r="15" ht="20.05" customHeight="1">
      <c r="B15" s="29"/>
      <c r="C15" s="43">
        <v>69.76000000000001</v>
      </c>
      <c r="D15" s="44">
        <v>560</v>
      </c>
      <c r="E15" s="20"/>
      <c r="F15" s="20"/>
    </row>
    <row r="16" ht="20.05" customHeight="1">
      <c r="B16" s="30">
        <v>2019</v>
      </c>
      <c r="C16" s="43">
        <v>32.48</v>
      </c>
      <c r="D16" s="44">
        <v>560</v>
      </c>
      <c r="E16" s="20"/>
      <c r="F16" s="20"/>
    </row>
    <row r="17" ht="20.05" customHeight="1">
      <c r="B17" s="29"/>
      <c r="C17" s="43">
        <v>55.18</v>
      </c>
      <c r="D17" s="44">
        <v>500</v>
      </c>
      <c r="E17" s="20"/>
      <c r="F17" s="20"/>
    </row>
    <row r="18" ht="20.05" customHeight="1">
      <c r="B18" s="29"/>
      <c r="C18" s="43">
        <v>32.81</v>
      </c>
      <c r="D18" s="44">
        <v>480</v>
      </c>
      <c r="E18" s="20"/>
      <c r="F18" s="20"/>
    </row>
    <row r="19" ht="20.05" customHeight="1">
      <c r="B19" s="29"/>
      <c r="C19" s="43">
        <v>2.64</v>
      </c>
      <c r="D19" s="44">
        <v>250</v>
      </c>
      <c r="E19" s="20"/>
      <c r="F19" s="20"/>
    </row>
    <row r="20" ht="20.05" customHeight="1">
      <c r="B20" s="30">
        <v>2020</v>
      </c>
      <c r="C20" s="43">
        <v>3.45</v>
      </c>
      <c r="D20" s="44">
        <v>135</v>
      </c>
      <c r="E20" s="20"/>
      <c r="F20" s="20"/>
    </row>
    <row r="21" ht="20.05" customHeight="1">
      <c r="B21" s="29"/>
      <c r="C21" s="43">
        <v>134.42</v>
      </c>
      <c r="D21" s="44">
        <v>79</v>
      </c>
      <c r="E21" s="20"/>
      <c r="F21" s="20"/>
    </row>
    <row r="22" ht="20.05" customHeight="1">
      <c r="B22" s="29"/>
      <c r="C22" s="43">
        <v>451.3</v>
      </c>
      <c r="D22" s="44">
        <v>121</v>
      </c>
      <c r="E22" s="20"/>
      <c r="F22" s="20"/>
    </row>
    <row r="23" ht="20.05" customHeight="1">
      <c r="B23" s="29"/>
      <c r="C23" s="43">
        <v>2370</v>
      </c>
      <c r="D23" s="44">
        <v>292</v>
      </c>
      <c r="E23" s="45">
        <v>233.326880841386</v>
      </c>
      <c r="F23" s="20"/>
    </row>
    <row r="24" ht="20.05" customHeight="1">
      <c r="B24" s="30">
        <v>2021</v>
      </c>
      <c r="C24" s="43">
        <v>3590</v>
      </c>
      <c r="D24" s="44">
        <v>440</v>
      </c>
      <c r="E24" s="45">
        <v>548.721569447556</v>
      </c>
      <c r="F24" s="20"/>
    </row>
    <row r="25" ht="20.05" customHeight="1">
      <c r="B25" s="29"/>
      <c r="C25" s="43"/>
      <c r="D25" s="44">
        <v>565</v>
      </c>
      <c r="E25" s="45">
        <v>548.721569447556</v>
      </c>
      <c r="F25" s="20"/>
    </row>
    <row r="26" ht="20.05" customHeight="1">
      <c r="B26" s="29"/>
      <c r="C26" s="43"/>
      <c r="D26" s="44">
        <v>665</v>
      </c>
      <c r="E26" s="45">
        <v>302.729711508564</v>
      </c>
      <c r="F26" s="20"/>
    </row>
    <row r="27" ht="20.05" customHeight="1">
      <c r="B27" s="29"/>
      <c r="C27" s="43"/>
      <c r="D27" s="44">
        <v>370</v>
      </c>
      <c r="E27" s="45">
        <v>302.729711508564</v>
      </c>
      <c r="F27" s="20"/>
    </row>
    <row r="28" ht="20.05" customHeight="1">
      <c r="B28" s="30">
        <v>2022</v>
      </c>
      <c r="C28" s="43"/>
      <c r="D28" s="44">
        <v>448</v>
      </c>
      <c r="E28" s="45">
        <v>302.729711508564</v>
      </c>
      <c r="F28" s="20"/>
    </row>
    <row r="29" ht="20.05" customHeight="1">
      <c r="B29" s="29"/>
      <c r="C29" s="43"/>
      <c r="D29" s="44">
        <v>350</v>
      </c>
      <c r="E29" s="31">
        <v>273.190910260545</v>
      </c>
      <c r="F29" s="20"/>
    </row>
    <row r="30" ht="20.05" customHeight="1">
      <c r="B30" s="29"/>
      <c r="C30" s="43"/>
      <c r="D30" s="44"/>
      <c r="E30" s="45">
        <f>'Model'!F44</f>
        <v>239.865034962905</v>
      </c>
      <c r="F30" s="46"/>
    </row>
    <row r="31" ht="20.05" customHeight="1">
      <c r="B31" s="29"/>
      <c r="C31" s="43"/>
      <c r="D31" s="44"/>
      <c r="E31" s="46"/>
      <c r="F31" s="46"/>
    </row>
  </sheetData>
  <mergeCells count="1">
    <mergeCell ref="B2:F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