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Model" sheetId="1" r:id="rId4"/>
    <sheet name="Sales" sheetId="2" r:id="rId5"/>
    <sheet name="Cashflow " sheetId="3" r:id="rId6"/>
    <sheet name="Balance sheet " sheetId="4" r:id="rId7"/>
    <sheet name="Share price " sheetId="5" r:id="rId8"/>
    <sheet name="Capital" sheetId="6" r:id="rId9"/>
  </sheets>
</workbook>
</file>

<file path=xl/sharedStrings.xml><?xml version="1.0" encoding="utf-8"?>
<sst xmlns="http://schemas.openxmlformats.org/spreadsheetml/2006/main" uniqueCount="54">
  <si>
    <t>Model</t>
  </si>
  <si>
    <t>Rpbn</t>
  </si>
  <si>
    <t>4Q 2021</t>
  </si>
  <si>
    <t>Cashflow</t>
  </si>
  <si>
    <t xml:space="preserve">Growth </t>
  </si>
  <si>
    <t>Sales</t>
  </si>
  <si>
    <t xml:space="preserve">Cost ratio </t>
  </si>
  <si>
    <t xml:space="preserve">Cash costs </t>
  </si>
  <si>
    <t xml:space="preserve">Operating </t>
  </si>
  <si>
    <t xml:space="preserve">Investment </t>
  </si>
  <si>
    <t xml:space="preserve">Liabilities </t>
  </si>
  <si>
    <t xml:space="preserve">Revolver </t>
  </si>
  <si>
    <t xml:space="preserve">Payout </t>
  </si>
  <si>
    <t xml:space="preserve">Equity </t>
  </si>
  <si>
    <t xml:space="preserve">Before revolver </t>
  </si>
  <si>
    <t>Finance</t>
  </si>
  <si>
    <t xml:space="preserve">Beginning </t>
  </si>
  <si>
    <t>Change</t>
  </si>
  <si>
    <t xml:space="preserve">Ending </t>
  </si>
  <si>
    <t xml:space="preserve">Profit </t>
  </si>
  <si>
    <t xml:space="preserve">Non cash costs </t>
  </si>
  <si>
    <t>Profit</t>
  </si>
  <si>
    <t xml:space="preserve">Balance sheet </t>
  </si>
  <si>
    <t>Other assets</t>
  </si>
  <si>
    <t xml:space="preserve">Depreciation </t>
  </si>
  <si>
    <t xml:space="preserve">Net other assets </t>
  </si>
  <si>
    <t xml:space="preserve">Check </t>
  </si>
  <si>
    <t xml:space="preserve">Net cash </t>
  </si>
  <si>
    <t xml:space="preserve">Valuation </t>
  </si>
  <si>
    <t xml:space="preserve">Capital </t>
  </si>
  <si>
    <t xml:space="preserve">Current value </t>
  </si>
  <si>
    <t>P/assets</t>
  </si>
  <si>
    <t>Yield</t>
  </si>
  <si>
    <t xml:space="preserve">Payback </t>
  </si>
  <si>
    <t xml:space="preserve">Forecast </t>
  </si>
  <si>
    <t xml:space="preserve">Value </t>
  </si>
  <si>
    <t>Shares</t>
  </si>
  <si>
    <t>Target</t>
  </si>
  <si>
    <t>SAFE</t>
  </si>
  <si>
    <t xml:space="preserve">V target </t>
  </si>
  <si>
    <t xml:space="preserve">12 month growth </t>
  </si>
  <si>
    <t xml:space="preserve">Sales forecasts </t>
  </si>
  <si>
    <t xml:space="preserve">Receipts </t>
  </si>
  <si>
    <t xml:space="preserve">Finance </t>
  </si>
  <si>
    <t xml:space="preserve">Free cashflow </t>
  </si>
  <si>
    <t xml:space="preserve">Cashflow </t>
  </si>
  <si>
    <t>Balance sheet</t>
  </si>
  <si>
    <t>Cash</t>
  </si>
  <si>
    <t xml:space="preserve">Assets </t>
  </si>
  <si>
    <t xml:space="preserve">Other assets </t>
  </si>
  <si>
    <t>Share price</t>
  </si>
  <si>
    <t xml:space="preserve">target </t>
  </si>
  <si>
    <t>Capital</t>
  </si>
  <si>
    <t xml:space="preserve">Total </t>
  </si>
</sst>
</file>

<file path=xl/styles.xml><?xml version="1.0" encoding="utf-8"?>
<styleSheet xmlns="http://schemas.openxmlformats.org/spreadsheetml/2006/main">
  <numFmts count="4">
    <numFmt numFmtId="0" formatCode="General"/>
    <numFmt numFmtId="59" formatCode="0.0%"/>
    <numFmt numFmtId="60" formatCode="0.0"/>
    <numFmt numFmtId="61" formatCode="#,##0.0"/>
  </numFmts>
  <fonts count="3">
    <font>
      <sz val="10"/>
      <color indexed="8"/>
      <name val="Helvetica Neue"/>
    </font>
    <font>
      <sz val="12"/>
      <color indexed="8"/>
      <name val="Helvetica Neue"/>
    </font>
    <font>
      <b val="1"/>
      <sz val="10"/>
      <color indexed="8"/>
      <name val="Helvetica Neue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45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center" vertical="center"/>
    </xf>
    <xf numFmtId="49" fontId="2" fillId="2" borderId="1" applyNumberFormat="1" applyFont="1" applyFill="1" applyBorder="1" applyAlignment="1" applyProtection="0">
      <alignment vertical="top" wrapText="1"/>
    </xf>
    <xf numFmtId="0" fontId="2" fillId="2" borderId="1" applyNumberFormat="0" applyFont="1" applyFill="1" applyBorder="1" applyAlignment="1" applyProtection="0">
      <alignment vertical="top" wrapText="1"/>
    </xf>
    <xf numFmtId="49" fontId="2" fillId="2" borderId="1" applyNumberFormat="1" applyFont="1" applyFill="1" applyBorder="1" applyAlignment="1" applyProtection="0">
      <alignment horizontal="right" vertical="top" wrapText="1"/>
    </xf>
    <xf numFmtId="49" fontId="2" fillId="3" borderId="2" applyNumberFormat="1" applyFont="1" applyFill="1" applyBorder="1" applyAlignment="1" applyProtection="0">
      <alignment vertical="top" wrapText="1"/>
    </xf>
    <xf numFmtId="9" fontId="0" borderId="3" applyNumberFormat="1" applyFont="1" applyFill="0" applyBorder="1" applyAlignment="1" applyProtection="0">
      <alignment vertical="top" wrapText="1"/>
    </xf>
    <xf numFmtId="59" fontId="0" borderId="4" applyNumberFormat="1" applyFont="1" applyFill="0" applyBorder="1" applyAlignment="1" applyProtection="0">
      <alignment vertical="top" wrapText="1"/>
    </xf>
    <xf numFmtId="9" fontId="0" borderId="4" applyNumberFormat="1" applyFont="1" applyFill="0" applyBorder="1" applyAlignment="1" applyProtection="0">
      <alignment vertical="top" wrapText="1"/>
    </xf>
    <xf numFmtId="49" fontId="0" fillId="3" borderId="5" applyNumberFormat="1" applyFont="1" applyFill="1" applyBorder="1" applyAlignment="1" applyProtection="0">
      <alignment vertical="top" wrapText="1"/>
    </xf>
    <xf numFmtId="9" fontId="0" borderId="6" applyNumberFormat="1" applyFont="1" applyFill="0" applyBorder="1" applyAlignment="1" applyProtection="0">
      <alignment vertical="top" wrapText="1"/>
    </xf>
    <xf numFmtId="9" fontId="0" borderId="7" applyNumberFormat="1" applyFont="1" applyFill="0" applyBorder="1" applyAlignment="1" applyProtection="0">
      <alignment vertical="top" wrapText="1"/>
    </xf>
    <xf numFmtId="1" fontId="0" borderId="6" applyNumberFormat="1" applyFont="1" applyFill="0" applyBorder="1" applyAlignment="1" applyProtection="0">
      <alignment vertical="top" wrapText="1"/>
    </xf>
    <xf numFmtId="1" fontId="0" borderId="7" applyNumberFormat="1" applyFont="1" applyFill="0" applyBorder="1" applyAlignment="1" applyProtection="0">
      <alignment vertical="top" wrapText="1"/>
    </xf>
    <xf numFmtId="60" fontId="0" borderId="6" applyNumberFormat="1" applyFont="1" applyFill="0" applyBorder="1" applyAlignment="1" applyProtection="0">
      <alignment vertical="top" wrapText="1"/>
    </xf>
    <xf numFmtId="49" fontId="2" fillId="3" borderId="5" applyNumberFormat="1" applyFont="1" applyFill="1" applyBorder="1" applyAlignment="1" applyProtection="0">
      <alignment vertical="top" wrapText="1"/>
    </xf>
    <xf numFmtId="60" fontId="0" borderId="7" applyNumberFormat="1" applyFont="1" applyFill="0" applyBorder="1" applyAlignment="1" applyProtection="0">
      <alignment vertical="top" wrapText="1"/>
    </xf>
    <xf numFmtId="0" fontId="0" borderId="7" applyNumberFormat="0" applyFont="1" applyFill="0" applyBorder="1" applyAlignment="1" applyProtection="0">
      <alignment vertical="top" wrapText="1"/>
    </xf>
    <xf numFmtId="0" fontId="0" borderId="6" applyNumberFormat="0" applyFont="1" applyFill="0" applyBorder="1" applyAlignment="1" applyProtection="0">
      <alignment vertical="top" wrapText="1"/>
    </xf>
    <xf numFmtId="2" fontId="0" borderId="7" applyNumberFormat="1" applyFont="1" applyFill="0" applyBorder="1" applyAlignment="1" applyProtection="0">
      <alignment vertical="top" wrapText="1"/>
    </xf>
    <xf numFmtId="59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fillId="3" borderId="2" applyNumberFormat="1" applyFont="1" applyFill="1" applyBorder="1" applyAlignment="1" applyProtection="0">
      <alignment vertical="top" wrapText="1"/>
    </xf>
    <xf numFmtId="60" fontId="0" borderId="3" applyNumberFormat="1" applyFont="1" applyFill="0" applyBorder="1" applyAlignment="1" applyProtection="0">
      <alignment vertical="top" wrapText="1"/>
    </xf>
    <xf numFmtId="60" fontId="0" borderId="4" applyNumberFormat="1" applyFont="1" applyFill="0" applyBorder="1" applyAlignment="1" applyProtection="0">
      <alignment vertical="top" wrapText="1"/>
    </xf>
    <xf numFmtId="0" fontId="2" fillId="3" borderId="5" applyNumberFormat="0" applyFont="1" applyFill="1" applyBorder="1" applyAlignment="1" applyProtection="0">
      <alignment vertical="top" wrapText="1"/>
    </xf>
    <xf numFmtId="0" fontId="2" fillId="3" borderId="5" applyNumberFormat="1" applyFont="1" applyFill="1" applyBorder="1" applyAlignment="1" applyProtection="0">
      <alignment vertical="top" wrapText="1"/>
    </xf>
    <xf numFmtId="61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fillId="2" borderId="1" applyNumberFormat="0" applyFont="1" applyFill="1" applyBorder="1" applyAlignment="1" applyProtection="0">
      <alignment horizontal="right" vertical="top" wrapText="1"/>
    </xf>
    <xf numFmtId="0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borderId="4" applyNumberFormat="0" applyFont="1" applyFill="0" applyBorder="1" applyAlignment="1" applyProtection="0">
      <alignment vertical="top" wrapText="1"/>
    </xf>
    <xf numFmtId="1" fontId="0" borderId="4" applyNumberFormat="1" applyFont="1" applyFill="0" applyBorder="1" applyAlignment="1" applyProtection="0">
      <alignment vertical="top" wrapText="1"/>
    </xf>
    <xf numFmtId="61" fontId="0" borderId="6" applyNumberFormat="1" applyFont="1" applyFill="0" applyBorder="1" applyAlignment="1" applyProtection="0">
      <alignment vertical="top" wrapText="1"/>
    </xf>
    <xf numFmtId="3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fillId="4" borderId="2" applyNumberFormat="1" applyFont="1" applyFill="1" applyBorder="1" applyAlignment="1" applyProtection="0">
      <alignment vertical="top" wrapText="1"/>
    </xf>
    <xf numFmtId="3" fontId="0" borderId="3" applyNumberFormat="1" applyFont="1" applyFill="0" applyBorder="1" applyAlignment="1" applyProtection="0">
      <alignment vertical="top" wrapText="1"/>
    </xf>
    <xf numFmtId="3" fontId="0" borderId="4" applyNumberFormat="1" applyFont="1" applyFill="0" applyBorder="1" applyAlignment="1" applyProtection="0">
      <alignment vertical="top" wrapText="1"/>
    </xf>
    <xf numFmtId="0" fontId="2" fillId="4" borderId="5" applyNumberFormat="0" applyFont="1" applyFill="1" applyBorder="1" applyAlignment="1" applyProtection="0">
      <alignment vertical="top" wrapText="1"/>
    </xf>
    <xf numFmtId="3" fontId="0" borderId="6" applyNumberFormat="1" applyFont="1" applyFill="0" applyBorder="1" applyAlignment="1" applyProtection="0">
      <alignment vertical="top" wrapText="1"/>
    </xf>
    <xf numFmtId="0" fontId="2" fillId="4" borderId="5" applyNumberFormat="1" applyFont="1" applyFill="1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6d6d6"/>
      <rgbColor rgb="ffdbdbdb"/>
      <rgbColor rgb="ffb8b8b8"/>
      <rgbColor rgb="fffefffe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autoTitleDeleted val="1"/>
    <c:plotArea>
      <c:layout>
        <c:manualLayout>
          <c:layoutTarget val="inner"/>
          <c:xMode val="edge"/>
          <c:yMode val="edge"/>
          <c:x val="0.102471"/>
          <c:y val="0.12368"/>
          <c:w val="0.860773"/>
          <c:h val="0.810337"/>
        </c:manualLayout>
      </c:layout>
      <c:lineChart>
        <c:grouping val="standard"/>
        <c:varyColors val="0"/>
        <c:ser>
          <c:idx val="0"/>
          <c:order val="0"/>
          <c:tx>
            <c:strRef>
              <c:f>'Capital'!$C$2</c:f>
              <c:strCache>
                <c:ptCount val="1"/>
                <c:pt idx="0">
                  <c:v>Equity </c:v>
                </c:pt>
              </c:strCache>
            </c:strRef>
          </c:tx>
          <c:spPr>
            <a:solidFill>
              <a:srgbClr val="FFFFFF"/>
            </a:solidFill>
            <a:ln w="50800" cap="flat">
              <a:solidFill>
                <a:schemeClr val="accent1"/>
              </a:solidFill>
              <a:prstDash val="solid"/>
              <a:miter lim="400000"/>
            </a:ln>
            <a:effectLst/>
          </c:spPr>
          <c:marker>
            <c:symbol val="none"/>
            <c:size val="4"/>
            <c:spPr>
              <a:solidFill>
                <a:srgbClr val="FFFFFF"/>
              </a:solidFill>
              <a:ln w="50800" cap="flat">
                <a:solidFill>
                  <a:schemeClr val="accent1"/>
                </a:solidFill>
                <a:prstDash val="solid"/>
                <a:miter lim="400000"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000000"/>
                    </a:solidFill>
                    <a:latin typeface="Helvetica Neue"/>
                  </a:defRPr>
                </a:pPr>
              </a:p>
            </c:txPr>
            <c:dLblPos val="b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'Capital'!$A$3:$A$12</c:f>
              <c:strCach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strCache>
            </c:strRef>
          </c:cat>
          <c:val>
            <c:numRef>
              <c:f>'Capital'!$C$3:$C$12</c:f>
              <c:numCache>
                <c:ptCount val="10"/>
                <c:pt idx="0">
                  <c:v>7.300000</c:v>
                </c:pt>
                <c:pt idx="1">
                  <c:v>12.537000</c:v>
                </c:pt>
                <c:pt idx="2">
                  <c:v>17.637000</c:v>
                </c:pt>
                <c:pt idx="3">
                  <c:v>16.937000</c:v>
                </c:pt>
                <c:pt idx="4">
                  <c:v>10.937000</c:v>
                </c:pt>
                <c:pt idx="5">
                  <c:v>-28.063000</c:v>
                </c:pt>
                <c:pt idx="6">
                  <c:v>-362.063000</c:v>
                </c:pt>
                <c:pt idx="7">
                  <c:v>-365.063000</c:v>
                </c:pt>
                <c:pt idx="8">
                  <c:v>-352.763000</c:v>
                </c:pt>
                <c:pt idx="9">
                  <c:v>-301.117000</c:v>
                </c:pt>
              </c:numCache>
            </c:numRef>
          </c:val>
          <c:smooth val="0"/>
        </c:ser>
        <c:marker val="1"/>
        <c:axId val="2094734552"/>
        <c:axId val="2094734553"/>
      </c:lineChart>
      <c:catAx>
        <c:axId val="2094734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3"/>
        <c:crosses val="autoZero"/>
        <c:auto val="1"/>
        <c:lblAlgn val="ctr"/>
        <c:noMultiLvlLbl val="1"/>
      </c:catAx>
      <c:valAx>
        <c:axId val="2094734553"/>
        <c:scaling>
          <c:orientation val="minMax"/>
        </c:scaling>
        <c:delete val="0"/>
        <c:axPos val="l"/>
        <c:majorGridlines>
          <c:spPr>
            <a:ln w="6350" cap="flat">
              <a:solidFill>
                <a:srgbClr val="B8B8B8"/>
              </a:solidFill>
              <a:prstDash val="solid"/>
              <a:miter lim="400000"/>
            </a:ln>
          </c:spPr>
        </c:majorGridlines>
        <c:numFmt formatCode="General" sourceLinked="1"/>
        <c:majorTickMark val="none"/>
        <c:minorTickMark val="none"/>
        <c:tickLblPos val="nextTo"/>
        <c:spPr>
          <a:ln w="12700" cap="flat">
            <a:noFill/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2"/>
        <c:crosses val="autoZero"/>
        <c:crossBetween val="midCat"/>
        <c:majorUnit val="125"/>
        <c:minorUnit val="62.5"/>
      </c:valAx>
      <c:spPr>
        <a:noFill/>
        <a:ln w="12700" cap="flat">
          <a:noFill/>
          <a:miter lim="400000"/>
        </a:ln>
        <a:effectLst/>
      </c:spPr>
    </c:plotArea>
    <c:legend>
      <c:legendPos val="t"/>
      <c:layout>
        <c:manualLayout>
          <c:xMode val="edge"/>
          <c:yMode val="edge"/>
          <c:x val="0.0521938"/>
          <c:y val="0"/>
          <c:w val="0.9"/>
          <c:h val="0.0640667"/>
        </c:manualLayout>
      </c:layout>
      <c:overlay val="1"/>
      <c:spPr>
        <a:noFill/>
        <a:ln w="12700" cap="flat">
          <a:noFill/>
          <a:miter lim="400000"/>
        </a:ln>
        <a:effectLst/>
      </c:spPr>
      <c:txPr>
        <a:bodyPr rot="0"/>
        <a:lstStyle/>
        <a:p>
          <a:pPr>
            <a:defRPr b="0" i="0" strike="noStrike" sz="1000" u="none">
              <a:solidFill>
                <a:srgbClr val="000000"/>
              </a:solidFill>
              <a:latin typeface="Helvetica Neue"/>
            </a:defRPr>
          </a:pPr>
        </a:p>
      </c:txPr>
    </c:legend>
    <c:plotVisOnly val="1"/>
    <c:dispBlanksAs val="gap"/>
  </c:chart>
  <c:spPr>
    <a:noFill/>
    <a:ln>
      <a:noFill/>
    </a:ln>
    <a:effectLst/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/Relationships>

</file>

<file path=xl/drawings/_rels/drawing2.xml.rels><?xml version="1.0" encoding="UTF-8"?>
<Relationships xmlns="http://schemas.openxmlformats.org/package/2006/relationships"><Relationship Id="rId1" Type="http://schemas.openxmlformats.org/officeDocument/2006/relationships/chart" Target="../charts/chart1.xml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6</xdr:col>
      <xdr:colOff>436830</xdr:colOff>
      <xdr:row>1</xdr:row>
      <xdr:rowOff>295555</xdr:rowOff>
    </xdr:from>
    <xdr:to>
      <xdr:col>13</xdr:col>
      <xdr:colOff>482840</xdr:colOff>
      <xdr:row>47</xdr:row>
      <xdr:rowOff>242673</xdr:rowOff>
    </xdr:to>
    <xdr:pic>
      <xdr:nvPicPr>
        <xdr:cNvPr id="2" name="Image" descr="Image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4996130" y="881660"/>
          <a:ext cx="8758211" cy="11761929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2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7</xdr:col>
      <xdr:colOff>1072897</xdr:colOff>
      <xdr:row>0</xdr:row>
      <xdr:rowOff>72579</xdr:rowOff>
    </xdr:from>
    <xdr:to>
      <xdr:col>11</xdr:col>
      <xdr:colOff>109453</xdr:colOff>
      <xdr:row>14</xdr:row>
      <xdr:rowOff>217993</xdr:rowOff>
    </xdr:to>
    <xdr:graphicFrame>
      <xdr:nvGraphicFramePr>
        <xdr:cNvPr id="4" name="2D Line Chart"/>
        <xdr:cNvGraphicFramePr/>
      </xdr:nvGraphicFramePr>
      <xdr:xfrm>
        <a:off x="6876797" y="72579"/>
        <a:ext cx="4014957" cy="3810000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000000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584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Helvetica Neue Medium"/>
            <a:ea typeface="Helvetica Neue Medium"/>
            <a:cs typeface="Helvetica Neue Medium"/>
            <a:sym typeface="Helvetica Neue Medium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_rels/sheet6.xml.rels><?xml version="1.0" encoding="UTF-8"?>
<Relationships xmlns="http://schemas.openxmlformats.org/package/2006/relationships"><Relationship Id="rId1" Type="http://schemas.openxmlformats.org/officeDocument/2006/relationships/drawing" Target="../drawings/drawing2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B3:F48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3.84375" style="1" customWidth="1"/>
    <col min="2" max="2" width="16.6797" style="1" customWidth="1"/>
    <col min="3" max="6" width="9.78125" style="1" customWidth="1"/>
    <col min="7" max="16384" width="16.3516" style="1" customWidth="1"/>
  </cols>
  <sheetData>
    <row r="1" ht="46.15" customHeight="1"/>
    <row r="2" ht="27.65" customHeight="1">
      <c r="B2" t="s" s="2">
        <v>0</v>
      </c>
      <c r="C2" s="2"/>
      <c r="D2" s="2"/>
      <c r="E2" s="2"/>
      <c r="F2" s="2"/>
    </row>
    <row r="3" ht="20.25" customHeight="1">
      <c r="B3" t="s" s="3">
        <v>1</v>
      </c>
      <c r="C3" s="4"/>
      <c r="D3" s="4"/>
      <c r="E3" t="s" s="5">
        <v>2</v>
      </c>
      <c r="F3" s="4"/>
    </row>
    <row r="4" ht="20.25" customHeight="1">
      <c r="B4" t="s" s="6">
        <v>3</v>
      </c>
      <c r="C4" s="7">
        <f>AVERAGE('Sales'!G13:G16)</f>
        <v>0.06905019232998549</v>
      </c>
      <c r="D4" s="8"/>
      <c r="E4" s="8"/>
      <c r="F4" s="9">
        <f>AVERAGE(C5:F5)</f>
        <v>0.0375</v>
      </c>
    </row>
    <row r="5" ht="20.05" customHeight="1">
      <c r="B5" t="s" s="10">
        <v>4</v>
      </c>
      <c r="C5" s="11">
        <v>0.1</v>
      </c>
      <c r="D5" s="12">
        <v>0.03</v>
      </c>
      <c r="E5" s="12">
        <v>0.07000000000000001</v>
      </c>
      <c r="F5" s="12">
        <v>-0.05</v>
      </c>
    </row>
    <row r="6" ht="20.05" customHeight="1">
      <c r="B6" t="s" s="10">
        <v>5</v>
      </c>
      <c r="C6" s="13">
        <f>'Sales'!C16*(1+C5)</f>
        <v>56.0274</v>
      </c>
      <c r="D6" s="14">
        <f>C6*(1+D5)</f>
        <v>57.708222</v>
      </c>
      <c r="E6" s="14">
        <f>D6*(1+E5)</f>
        <v>61.74779754</v>
      </c>
      <c r="F6" s="14">
        <f>E6*(1+F5)</f>
        <v>58.660407663</v>
      </c>
    </row>
    <row r="7" ht="20.05" customHeight="1">
      <c r="B7" t="s" s="10">
        <v>6</v>
      </c>
      <c r="C7" s="11">
        <f>AVERAGE('Sales'!H16)</f>
        <v>-0.82275101111242</v>
      </c>
      <c r="D7" s="12">
        <f>C7</f>
        <v>-0.82275101111242</v>
      </c>
      <c r="E7" s="12">
        <f>D7</f>
        <v>-0.82275101111242</v>
      </c>
      <c r="F7" s="12">
        <f>E7</f>
        <v>-0.82275101111242</v>
      </c>
    </row>
    <row r="8" ht="20.05" customHeight="1">
      <c r="B8" t="s" s="10">
        <v>7</v>
      </c>
      <c r="C8" s="13">
        <f>C6*C7</f>
        <v>-46.0966</v>
      </c>
      <c r="D8" s="14">
        <f>D6*D7</f>
        <v>-47.479498</v>
      </c>
      <c r="E8" s="14">
        <f>E6*E7</f>
        <v>-50.80306286</v>
      </c>
      <c r="F8" s="14">
        <f>F6*F7</f>
        <v>-48.262909717</v>
      </c>
    </row>
    <row r="9" ht="20.05" customHeight="1">
      <c r="B9" t="s" s="10">
        <v>8</v>
      </c>
      <c r="C9" s="13">
        <f>C6+C8</f>
        <v>9.9308</v>
      </c>
      <c r="D9" s="14">
        <f>D6+D8</f>
        <v>10.228724</v>
      </c>
      <c r="E9" s="14">
        <f>E6+E8</f>
        <v>10.94473468</v>
      </c>
      <c r="F9" s="14">
        <f>F6+F8</f>
        <v>10.397497946</v>
      </c>
    </row>
    <row r="10" ht="20.05" customHeight="1">
      <c r="B10" t="s" s="10">
        <v>9</v>
      </c>
      <c r="C10" s="13">
        <f>AVERAGE('Cashflow '!E16)</f>
        <v>-0.733</v>
      </c>
      <c r="D10" s="14">
        <f>C10</f>
        <v>-0.733</v>
      </c>
      <c r="E10" s="14">
        <f>D10</f>
        <v>-0.733</v>
      </c>
      <c r="F10" s="14">
        <f>E10</f>
        <v>-0.733</v>
      </c>
    </row>
    <row r="11" ht="20.05" customHeight="1">
      <c r="B11" t="s" s="10">
        <v>10</v>
      </c>
      <c r="C11" s="13">
        <f>-'Balance sheet '!G16/20</f>
        <v>-18.12875</v>
      </c>
      <c r="D11" s="14">
        <f>-C27/20</f>
        <v>-17.2223125</v>
      </c>
      <c r="E11" s="14">
        <f>-D27/20</f>
        <v>-16.361196875</v>
      </c>
      <c r="F11" s="14">
        <f>-E27/20</f>
        <v>-15.543137031250</v>
      </c>
    </row>
    <row r="12" ht="20.05" customHeight="1">
      <c r="B12" t="s" s="10">
        <v>11</v>
      </c>
      <c r="C12" s="13">
        <f>-MIN(0,C15)</f>
        <v>9.68299</v>
      </c>
      <c r="D12" s="14">
        <f>-MIN(C28,D15)</f>
        <v>8.568005700000001</v>
      </c>
      <c r="E12" s="14">
        <f>-MIN(D28,E15)</f>
        <v>7.205682599</v>
      </c>
      <c r="F12" s="14">
        <f>-MIN(E28,F15)</f>
        <v>6.770688469050</v>
      </c>
    </row>
    <row r="13" ht="20.05" customHeight="1">
      <c r="B13" t="s" s="10">
        <v>12</v>
      </c>
      <c r="C13" s="15">
        <v>0.3</v>
      </c>
      <c r="D13" s="14"/>
      <c r="E13" s="14"/>
      <c r="F13" s="14"/>
    </row>
    <row r="14" ht="20.05" customHeight="1">
      <c r="B14" t="s" s="10">
        <v>13</v>
      </c>
      <c r="C14" s="13">
        <f>IF(C22&gt;0,-C22*$C$13,0)</f>
        <v>-0.75204</v>
      </c>
      <c r="D14" s="14">
        <f>IF(D22&gt;0,-D22*$C$13,0)</f>
        <v>-0.8414172</v>
      </c>
      <c r="E14" s="14">
        <f>IF(E22&gt;0,-E22*$C$13,0)</f>
        <v>-1.056220404</v>
      </c>
      <c r="F14" s="14">
        <f>IF(F22&gt;0,-F22*$C$13,0)</f>
        <v>-0.8920493838</v>
      </c>
    </row>
    <row r="15" ht="20.05" customHeight="1">
      <c r="B15" t="s" s="10">
        <v>14</v>
      </c>
      <c r="C15" s="13">
        <f>C9+C10+C11+C14</f>
        <v>-9.68299</v>
      </c>
      <c r="D15" s="14">
        <f>D9+D10+D11+D14</f>
        <v>-8.568005700000001</v>
      </c>
      <c r="E15" s="14">
        <f>E9+E10+E11+E14</f>
        <v>-7.205682599</v>
      </c>
      <c r="F15" s="14">
        <f>F9+F10+F11+F14</f>
        <v>-6.770688469050</v>
      </c>
    </row>
    <row r="16" ht="20.05" customHeight="1">
      <c r="B16" t="s" s="10">
        <v>15</v>
      </c>
      <c r="C16" s="13">
        <f>C11+C14+C12</f>
        <v>-9.197800000000001</v>
      </c>
      <c r="D16" s="14">
        <f>D11+D14+D12</f>
        <v>-9.495723999999999</v>
      </c>
      <c r="E16" s="14">
        <f>E11+E14+E12</f>
        <v>-10.21173468</v>
      </c>
      <c r="F16" s="14">
        <f>F11+F14+F12</f>
        <v>-9.664497945999999</v>
      </c>
    </row>
    <row r="17" ht="20.05" customHeight="1">
      <c r="B17" t="s" s="10">
        <v>16</v>
      </c>
      <c r="C17" s="13">
        <f>'Balance sheet '!C16</f>
        <v>12.355</v>
      </c>
      <c r="D17" s="14">
        <f>C19</f>
        <v>12.355</v>
      </c>
      <c r="E17" s="14">
        <f>D19</f>
        <v>12.355</v>
      </c>
      <c r="F17" s="14">
        <f>E19</f>
        <v>12.355</v>
      </c>
    </row>
    <row r="18" ht="20.05" customHeight="1">
      <c r="B18" t="s" s="10">
        <v>17</v>
      </c>
      <c r="C18" s="13">
        <f>C9+C10+C16</f>
        <v>0</v>
      </c>
      <c r="D18" s="14">
        <f>D9+D10+D16</f>
        <v>0</v>
      </c>
      <c r="E18" s="14">
        <f>E9+E10+E16</f>
        <v>0</v>
      </c>
      <c r="F18" s="14">
        <f>F9+F10+F16</f>
        <v>0</v>
      </c>
    </row>
    <row r="19" ht="20.05" customHeight="1">
      <c r="B19" t="s" s="10">
        <v>18</v>
      </c>
      <c r="C19" s="13">
        <f>C17+C18</f>
        <v>12.355</v>
      </c>
      <c r="D19" s="14">
        <f>D17+D18</f>
        <v>12.355</v>
      </c>
      <c r="E19" s="14">
        <f>E17+E18</f>
        <v>12.355</v>
      </c>
      <c r="F19" s="14">
        <f>F17+F18</f>
        <v>12.355</v>
      </c>
    </row>
    <row r="20" ht="20.05" customHeight="1">
      <c r="B20" t="s" s="16">
        <v>19</v>
      </c>
      <c r="C20" s="15"/>
      <c r="D20" s="17"/>
      <c r="E20" s="17"/>
      <c r="F20" s="18"/>
    </row>
    <row r="21" ht="20.05" customHeight="1">
      <c r="B21" t="s" s="10">
        <v>20</v>
      </c>
      <c r="C21" s="15">
        <f>-'Sales'!E16</f>
        <v>-7.424</v>
      </c>
      <c r="D21" s="17">
        <f>C21</f>
        <v>-7.424</v>
      </c>
      <c r="E21" s="17">
        <f>D21</f>
        <v>-7.424</v>
      </c>
      <c r="F21" s="17">
        <f>E21</f>
        <v>-7.424</v>
      </c>
    </row>
    <row r="22" ht="20.05" customHeight="1">
      <c r="B22" t="s" s="10">
        <v>21</v>
      </c>
      <c r="C22" s="15">
        <f>C6+C8+C21</f>
        <v>2.5068</v>
      </c>
      <c r="D22" s="17">
        <f>D6+D8+D21</f>
        <v>2.804724</v>
      </c>
      <c r="E22" s="17">
        <f>E6+E8+E21</f>
        <v>3.52073468</v>
      </c>
      <c r="F22" s="17">
        <f>F6+F8+F21</f>
        <v>2.973497946</v>
      </c>
    </row>
    <row r="23" ht="20.05" customHeight="1">
      <c r="B23" t="s" s="16">
        <v>22</v>
      </c>
      <c r="C23" s="15"/>
      <c r="D23" s="17"/>
      <c r="E23" s="17"/>
      <c r="F23" s="17"/>
    </row>
    <row r="24" ht="20.05" customHeight="1">
      <c r="B24" t="s" s="10">
        <v>23</v>
      </c>
      <c r="C24" s="15">
        <f>'Balance sheet '!E16+'Balance sheet '!F16-C10</f>
        <v>351.743</v>
      </c>
      <c r="D24" s="17">
        <f>C24-D10</f>
        <v>352.476</v>
      </c>
      <c r="E24" s="17">
        <f>D24-E10</f>
        <v>353.209</v>
      </c>
      <c r="F24" s="17">
        <f>E24-F10</f>
        <v>353.942</v>
      </c>
    </row>
    <row r="25" ht="20.05" customHeight="1">
      <c r="B25" t="s" s="10">
        <v>24</v>
      </c>
      <c r="C25" s="15">
        <f>'Balance sheet '!F16-C21</f>
        <v>74.845</v>
      </c>
      <c r="D25" s="17">
        <f>C25-D21</f>
        <v>82.26900000000001</v>
      </c>
      <c r="E25" s="17">
        <f>D25-E21</f>
        <v>89.693</v>
      </c>
      <c r="F25" s="17">
        <f>E25-F21</f>
        <v>97.117</v>
      </c>
    </row>
    <row r="26" ht="20.05" customHeight="1">
      <c r="B26" t="s" s="10">
        <v>25</v>
      </c>
      <c r="C26" s="15">
        <f>C24-C25</f>
        <v>276.898</v>
      </c>
      <c r="D26" s="17">
        <f>D24-D25</f>
        <v>270.207</v>
      </c>
      <c r="E26" s="17">
        <f>E24-E25</f>
        <v>263.516</v>
      </c>
      <c r="F26" s="17">
        <f>F24-F25</f>
        <v>256.825</v>
      </c>
    </row>
    <row r="27" ht="20.05" customHeight="1">
      <c r="B27" t="s" s="10">
        <v>10</v>
      </c>
      <c r="C27" s="15">
        <f>'Balance sheet '!G16+C11</f>
        <v>344.44625</v>
      </c>
      <c r="D27" s="17">
        <f>C27+D11</f>
        <v>327.2239375</v>
      </c>
      <c r="E27" s="17">
        <f>D27+E11</f>
        <v>310.862740625</v>
      </c>
      <c r="F27" s="17">
        <f>E27+F11</f>
        <v>295.319603593750</v>
      </c>
    </row>
    <row r="28" ht="20.05" customHeight="1">
      <c r="B28" t="s" s="10">
        <v>11</v>
      </c>
      <c r="C28" s="15">
        <f>C12</f>
        <v>9.68299</v>
      </c>
      <c r="D28" s="17">
        <f>D12+C28</f>
        <v>18.2509957</v>
      </c>
      <c r="E28" s="17">
        <f>E12+D28</f>
        <v>25.456678299</v>
      </c>
      <c r="F28" s="17">
        <f>F12+E28</f>
        <v>32.227366768050</v>
      </c>
    </row>
    <row r="29" ht="20.05" customHeight="1">
      <c r="B29" t="s" s="10">
        <v>13</v>
      </c>
      <c r="C29" s="15">
        <f>'Balance sheet '!H16+C22+C14</f>
        <v>-64.87624</v>
      </c>
      <c r="D29" s="17">
        <f>C29+D22+D14</f>
        <v>-62.9129332</v>
      </c>
      <c r="E29" s="17">
        <f>D29+E22+E14</f>
        <v>-60.448418924</v>
      </c>
      <c r="F29" s="17">
        <f>E29+F22+F14</f>
        <v>-58.3669703618</v>
      </c>
    </row>
    <row r="30" ht="20.05" customHeight="1">
      <c r="B30" t="s" s="10">
        <v>26</v>
      </c>
      <c r="C30" s="15">
        <f>C27+C28+C29-C19-C26</f>
        <v>0</v>
      </c>
      <c r="D30" s="17">
        <f>D27+D28+D29-D19-D26</f>
        <v>0</v>
      </c>
      <c r="E30" s="17">
        <f>E27+E28+E29-E19-E26</f>
        <v>0</v>
      </c>
      <c r="F30" s="17">
        <f>F27+F28+F29-F19-F26</f>
        <v>0</v>
      </c>
    </row>
    <row r="31" ht="20.05" customHeight="1">
      <c r="B31" t="s" s="10">
        <v>27</v>
      </c>
      <c r="C31" s="15">
        <f>C19-C27-C28</f>
        <v>-341.77424</v>
      </c>
      <c r="D31" s="17">
        <f>D19-D27-D28</f>
        <v>-333.1199332</v>
      </c>
      <c r="E31" s="17">
        <f>E19-E27-E28</f>
        <v>-323.964418924</v>
      </c>
      <c r="F31" s="17">
        <f>F19-F27-F28</f>
        <v>-315.1919703618</v>
      </c>
    </row>
    <row r="32" ht="20.05" customHeight="1">
      <c r="B32" t="s" s="16">
        <v>28</v>
      </c>
      <c r="C32" s="15"/>
      <c r="D32" s="17"/>
      <c r="E32" s="17"/>
      <c r="F32" s="17"/>
    </row>
    <row r="33" ht="20.05" customHeight="1">
      <c r="B33" t="s" s="10">
        <v>29</v>
      </c>
      <c r="C33" s="15">
        <f>'Cashflow '!L16-C16</f>
        <v>16.1978</v>
      </c>
      <c r="D33" s="17">
        <f>C33-D16</f>
        <v>25.693524</v>
      </c>
      <c r="E33" s="17">
        <f>D33-E16</f>
        <v>35.90525868</v>
      </c>
      <c r="F33" s="17">
        <f>E33-F16</f>
        <v>45.569756626</v>
      </c>
    </row>
    <row r="34" ht="20.05" customHeight="1">
      <c r="B34" t="s" s="10">
        <v>30</v>
      </c>
      <c r="C34" s="19"/>
      <c r="D34" s="17"/>
      <c r="E34" s="17"/>
      <c r="F34" s="17">
        <v>134101615232</v>
      </c>
    </row>
    <row r="35" ht="20.05" customHeight="1">
      <c r="B35" t="s" s="10">
        <v>30</v>
      </c>
      <c r="C35" s="19"/>
      <c r="D35" s="17"/>
      <c r="E35" s="17"/>
      <c r="F35" s="17">
        <f>F34/1000000000</f>
        <v>134.101615232</v>
      </c>
    </row>
    <row r="36" ht="20.05" customHeight="1">
      <c r="B36" t="s" s="10">
        <v>31</v>
      </c>
      <c r="C36" s="15"/>
      <c r="D36" s="17"/>
      <c r="E36" s="17"/>
      <c r="F36" s="20">
        <f>F35/(F19+F24)</f>
        <v>0.366100774049474</v>
      </c>
    </row>
    <row r="37" ht="20.05" customHeight="1">
      <c r="B37" t="s" s="10">
        <v>32</v>
      </c>
      <c r="C37" s="15"/>
      <c r="D37" s="18"/>
      <c r="E37" s="17"/>
      <c r="F37" s="21">
        <f>-(C14+D14+E14+F14)/F35</f>
        <v>0.0264107705315309</v>
      </c>
    </row>
    <row r="38" ht="20.05" customHeight="1">
      <c r="B38" t="s" s="10">
        <v>3</v>
      </c>
      <c r="C38" s="15"/>
      <c r="D38" s="17"/>
      <c r="E38" s="17"/>
      <c r="F38" s="14">
        <f>SUM(C9:F10)</f>
        <v>38.569756626</v>
      </c>
    </row>
    <row r="39" ht="20.05" customHeight="1">
      <c r="B39" t="s" s="10">
        <v>33</v>
      </c>
      <c r="C39" s="15"/>
      <c r="D39" s="17"/>
      <c r="E39" s="17"/>
      <c r="F39" s="14">
        <f>'Balance sheet '!E16/F38</f>
        <v>7.35262611973112</v>
      </c>
    </row>
    <row r="40" ht="20.05" customHeight="1">
      <c r="B40" t="s" s="10">
        <v>28</v>
      </c>
      <c r="C40" s="15"/>
      <c r="D40" s="17"/>
      <c r="E40" s="17"/>
      <c r="F40" s="14">
        <f>F35/F38</f>
        <v>3.47685925354275</v>
      </c>
    </row>
    <row r="41" ht="20.05" customHeight="1">
      <c r="B41" t="s" s="10">
        <v>34</v>
      </c>
      <c r="C41" s="15"/>
      <c r="D41" s="17"/>
      <c r="E41" s="17"/>
      <c r="F41" s="14">
        <v>5.5</v>
      </c>
    </row>
    <row r="42" ht="20.05" customHeight="1">
      <c r="B42" t="s" s="10">
        <v>35</v>
      </c>
      <c r="C42" s="15"/>
      <c r="D42" s="17"/>
      <c r="E42" s="17"/>
      <c r="F42" s="14">
        <f>F38*F41</f>
        <v>212.133661443</v>
      </c>
    </row>
    <row r="43" ht="20.05" customHeight="1">
      <c r="B43" t="s" s="10">
        <v>36</v>
      </c>
      <c r="C43" s="15"/>
      <c r="D43" s="17"/>
      <c r="E43" s="17"/>
      <c r="F43" s="17">
        <f>F35/F45</f>
        <v>0.615145024</v>
      </c>
    </row>
    <row r="44" ht="20.05" customHeight="1">
      <c r="B44" t="s" s="10">
        <v>37</v>
      </c>
      <c r="C44" s="13"/>
      <c r="D44" s="14"/>
      <c r="E44" s="14"/>
      <c r="F44" s="14">
        <f>F42/F43</f>
        <v>344.851462934048</v>
      </c>
    </row>
    <row r="45" ht="20.05" customHeight="1">
      <c r="B45" t="s" s="10">
        <v>38</v>
      </c>
      <c r="C45" s="13"/>
      <c r="D45" s="14"/>
      <c r="E45" s="14"/>
      <c r="F45" s="14">
        <v>218</v>
      </c>
    </row>
    <row r="46" ht="20.05" customHeight="1">
      <c r="B46" t="s" s="10">
        <v>39</v>
      </c>
      <c r="C46" s="19"/>
      <c r="D46" s="17"/>
      <c r="E46" s="17"/>
      <c r="F46" s="12">
        <f>F44/F45-1</f>
        <v>0.581887444651596</v>
      </c>
    </row>
    <row r="47" ht="20.05" customHeight="1">
      <c r="B47" t="s" s="10">
        <v>40</v>
      </c>
      <c r="C47" s="19"/>
      <c r="D47" s="17"/>
      <c r="E47" s="17"/>
      <c r="F47" s="12">
        <f>'Sales'!C16/'Sales'!C12-1</f>
        <v>0.20696682464455</v>
      </c>
    </row>
    <row r="48" ht="20.05" customHeight="1">
      <c r="B48" t="s" s="10">
        <v>41</v>
      </c>
      <c r="C48" s="19"/>
      <c r="D48" s="17"/>
      <c r="E48" s="17"/>
      <c r="F48" s="12">
        <f>'Sales'!F19/'Sales'!E19-1</f>
        <v>-0.0474704486551863</v>
      </c>
    </row>
  </sheetData>
  <mergeCells count="1">
    <mergeCell ref="B2:F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B3:J20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3.84375" style="22" customWidth="1"/>
    <col min="2" max="2" width="11.4844" style="22" customWidth="1"/>
    <col min="3" max="10" width="10.0234" style="22" customWidth="1"/>
    <col min="11" max="16384" width="16.3516" style="22" customWidth="1"/>
  </cols>
  <sheetData>
    <row r="1" ht="46.15" customHeight="1"/>
    <row r="2" ht="27.65" customHeight="1">
      <c r="B2" t="s" s="2">
        <v>5</v>
      </c>
      <c r="C2" s="2"/>
      <c r="D2" s="2"/>
      <c r="E2" s="2"/>
      <c r="F2" s="2"/>
      <c r="G2" s="2"/>
      <c r="H2" s="2"/>
      <c r="I2" s="2"/>
      <c r="J2" s="2"/>
    </row>
    <row r="3" ht="32.25" customHeight="1">
      <c r="B3" t="s" s="5">
        <v>1</v>
      </c>
      <c r="C3" t="s" s="5">
        <v>5</v>
      </c>
      <c r="D3" t="s" s="5">
        <v>34</v>
      </c>
      <c r="E3" t="s" s="5">
        <v>20</v>
      </c>
      <c r="F3" t="s" s="5">
        <v>19</v>
      </c>
      <c r="G3" t="s" s="5">
        <v>4</v>
      </c>
      <c r="H3" t="s" s="5">
        <v>6</v>
      </c>
      <c r="I3" t="s" s="5">
        <v>6</v>
      </c>
      <c r="J3" t="s" s="5">
        <v>34</v>
      </c>
    </row>
    <row r="4" ht="20.25" customHeight="1">
      <c r="B4" s="23">
        <v>2019</v>
      </c>
      <c r="C4" s="24">
        <v>36.9</v>
      </c>
      <c r="D4" s="25"/>
      <c r="E4" s="25"/>
      <c r="F4" s="25">
        <v>-1.8</v>
      </c>
      <c r="G4" s="9"/>
      <c r="H4" s="9">
        <f>(F4+E4-C4)/C4</f>
        <v>-1.04878048780488</v>
      </c>
      <c r="I4" s="9"/>
      <c r="J4" s="9"/>
    </row>
    <row r="5" ht="20.05" customHeight="1">
      <c r="B5" s="26"/>
      <c r="C5" s="15">
        <f>78.6-C4</f>
        <v>41.7</v>
      </c>
      <c r="D5" s="17"/>
      <c r="E5" s="17"/>
      <c r="F5" s="17">
        <f>0.5-F4</f>
        <v>2.3</v>
      </c>
      <c r="G5" s="12">
        <f>C5/C4-1</f>
        <v>0.130081300813008</v>
      </c>
      <c r="H5" s="12">
        <f>(F5+E5-C5)/C5</f>
        <v>-0.94484412470024</v>
      </c>
      <c r="I5" s="12">
        <f>AVERAGE(H3:H5)</f>
        <v>-0.99681230625256</v>
      </c>
      <c r="J5" s="12"/>
    </row>
    <row r="6" ht="20.05" customHeight="1">
      <c r="B6" s="26"/>
      <c r="C6" s="15">
        <f>131.5-C5-C4</f>
        <v>52.9</v>
      </c>
      <c r="D6" s="17"/>
      <c r="E6" s="17"/>
      <c r="F6" s="17">
        <f>10.4-F5-F4</f>
        <v>9.9</v>
      </c>
      <c r="G6" s="12">
        <f>C6/C5-1</f>
        <v>0.268585131894484</v>
      </c>
      <c r="H6" s="12">
        <f>(F6+E6-C6)/C6</f>
        <v>-0.812854442344045</v>
      </c>
      <c r="I6" s="12">
        <f>AVERAGE(H3:H6)</f>
        <v>-0.935493018283055</v>
      </c>
      <c r="J6" s="12"/>
    </row>
    <row r="7" ht="20.05" customHeight="1">
      <c r="B7" s="26"/>
      <c r="C7" s="15">
        <f>180.1-C6-C5-C4</f>
        <v>48.6</v>
      </c>
      <c r="D7" s="17"/>
      <c r="E7" s="17"/>
      <c r="F7" s="17">
        <f>9.2+F6-F5-F4</f>
        <v>18.6</v>
      </c>
      <c r="G7" s="12">
        <f>C7/C6-1</f>
        <v>-0.08128544423440449</v>
      </c>
      <c r="H7" s="12">
        <f>(F7+E7-C7)/C7</f>
        <v>-0.617283950617284</v>
      </c>
      <c r="I7" s="12">
        <f>AVERAGE(H4:H7)</f>
        <v>-0.855940751366612</v>
      </c>
      <c r="J7" s="12"/>
    </row>
    <row r="8" ht="20.05" customHeight="1">
      <c r="B8" s="27">
        <v>2020</v>
      </c>
      <c r="C8" s="15">
        <v>47</v>
      </c>
      <c r="D8" s="17"/>
      <c r="E8" s="17">
        <v>7.5</v>
      </c>
      <c r="F8" s="17">
        <v>1.4</v>
      </c>
      <c r="G8" s="12">
        <f>C8/C7-1</f>
        <v>-0.0329218106995885</v>
      </c>
      <c r="H8" s="12">
        <f>(F8+E8-C8)/C8</f>
        <v>-0.81063829787234</v>
      </c>
      <c r="I8" s="12">
        <f>AVERAGE(H5:H8)</f>
        <v>-0.796405203883477</v>
      </c>
      <c r="J8" s="12"/>
    </row>
    <row r="9" ht="20.05" customHeight="1">
      <c r="B9" s="26"/>
      <c r="C9" s="15">
        <v>24.3</v>
      </c>
      <c r="D9" s="17"/>
      <c r="E9" s="17">
        <v>7.5</v>
      </c>
      <c r="F9" s="17">
        <v>-12.1</v>
      </c>
      <c r="G9" s="12">
        <f>C9/C8-1</f>
        <v>-0.482978723404255</v>
      </c>
      <c r="H9" s="12">
        <f>(F9+E9-C9)/C9</f>
        <v>-1.18930041152263</v>
      </c>
      <c r="I9" s="12">
        <f>AVERAGE(H6:H9)</f>
        <v>-0.857519275589075</v>
      </c>
      <c r="J9" s="12"/>
    </row>
    <row r="10" ht="20.05" customHeight="1">
      <c r="B10" s="26"/>
      <c r="C10" s="15">
        <v>34.4</v>
      </c>
      <c r="D10" s="17"/>
      <c r="E10" s="17">
        <v>7.4</v>
      </c>
      <c r="F10" s="17">
        <v>-2.1</v>
      </c>
      <c r="G10" s="12">
        <f>C10/C9-1</f>
        <v>0.415637860082305</v>
      </c>
      <c r="H10" s="12">
        <f>(F10+E10-C10)/C10</f>
        <v>-0.84593023255814</v>
      </c>
      <c r="I10" s="12">
        <f>AVERAGE(H7:H10)</f>
        <v>-0.865788223142599</v>
      </c>
      <c r="J10" s="12"/>
    </row>
    <row r="11" ht="20.05" customHeight="1">
      <c r="B11" s="26"/>
      <c r="C11" s="15">
        <v>38.3</v>
      </c>
      <c r="D11" s="17"/>
      <c r="E11" s="17">
        <v>7.7</v>
      </c>
      <c r="F11" s="17">
        <v>-4.8</v>
      </c>
      <c r="G11" s="12">
        <f>C11/C10-1</f>
        <v>0.113372093023256</v>
      </c>
      <c r="H11" s="12">
        <f>(F11+E11-C11)/C11</f>
        <v>-0.9242819843342041</v>
      </c>
      <c r="I11" s="12">
        <f>AVERAGE(H8:H11)</f>
        <v>-0.942537731571829</v>
      </c>
      <c r="J11" s="12"/>
    </row>
    <row r="12" ht="20.05" customHeight="1">
      <c r="B12" s="27">
        <v>2021</v>
      </c>
      <c r="C12" s="15">
        <v>42.2</v>
      </c>
      <c r="D12" s="17"/>
      <c r="E12" s="17">
        <v>7.3</v>
      </c>
      <c r="F12" s="17">
        <v>-0.2</v>
      </c>
      <c r="G12" s="12">
        <f>C12/C11-1</f>
        <v>0.101827676240209</v>
      </c>
      <c r="H12" s="12">
        <f>(F12+E12-C12)/C12</f>
        <v>-0.83175355450237</v>
      </c>
      <c r="I12" s="12">
        <f>AVERAGE(H9:H12)</f>
        <v>-0.947816545729336</v>
      </c>
      <c r="J12" s="12"/>
    </row>
    <row r="13" ht="20.05" customHeight="1">
      <c r="B13" s="26"/>
      <c r="C13" s="15">
        <v>45.2</v>
      </c>
      <c r="D13" s="17"/>
      <c r="E13" s="17">
        <v>7.7</v>
      </c>
      <c r="F13" s="17">
        <v>1.3</v>
      </c>
      <c r="G13" s="12">
        <f>C13/C12-1</f>
        <v>0.0710900473933649</v>
      </c>
      <c r="H13" s="12">
        <f>(F13+E13-C13)/C13</f>
        <v>-0.800884955752212</v>
      </c>
      <c r="I13" s="12">
        <f>AVERAGE(H10:H13)</f>
        <v>-0.850712681786732</v>
      </c>
      <c r="J13" s="12"/>
    </row>
    <row r="14" ht="20.05" customHeight="1">
      <c r="B14" s="26"/>
      <c r="C14" s="15">
        <v>37.777</v>
      </c>
      <c r="D14" s="18"/>
      <c r="E14" s="17">
        <v>7.3</v>
      </c>
      <c r="F14" s="17">
        <v>-0.949</v>
      </c>
      <c r="G14" s="12">
        <f>C14/C13-1</f>
        <v>-0.164225663716814</v>
      </c>
      <c r="H14" s="12">
        <f>(F14+E14-C14)/C14</f>
        <v>-0.831881832861265</v>
      </c>
      <c r="I14" s="12">
        <f>AVERAGE(H11:H14)</f>
        <v>-0.847200581862513</v>
      </c>
      <c r="J14" s="12"/>
    </row>
    <row r="15" ht="20.05" customHeight="1">
      <c r="B15" s="26"/>
      <c r="C15" s="15">
        <v>35.881</v>
      </c>
      <c r="D15" s="28">
        <v>41.5547</v>
      </c>
      <c r="E15" s="28">
        <v>7.597</v>
      </c>
      <c r="F15" s="28">
        <v>0.641</v>
      </c>
      <c r="G15" s="12">
        <f>C15/C14-1</f>
        <v>-0.0501892686025889</v>
      </c>
      <c r="H15" s="12">
        <f>(F15+E15-C15)/C15</f>
        <v>-0.7704077366851541</v>
      </c>
      <c r="I15" s="12">
        <f>AVERAGE(H12:H15)</f>
        <v>-0.80873201995025</v>
      </c>
      <c r="J15" s="12"/>
    </row>
    <row r="16" ht="20.05" customHeight="1">
      <c r="B16" s="27">
        <v>2022</v>
      </c>
      <c r="C16" s="15">
        <v>50.934</v>
      </c>
      <c r="D16" s="28">
        <v>41.139153</v>
      </c>
      <c r="E16" s="28">
        <v>7.424</v>
      </c>
      <c r="F16" s="28">
        <v>1.604</v>
      </c>
      <c r="G16" s="12">
        <f>C16/C15-1</f>
        <v>0.41952565424598</v>
      </c>
      <c r="H16" s="12">
        <f>(F16+E16-C16)/C16</f>
        <v>-0.82275101111242</v>
      </c>
      <c r="I16" s="12">
        <f>AVERAGE(H13:H16)</f>
        <v>-0.806481384102763</v>
      </c>
      <c r="J16" s="12">
        <v>-0.82275101111242</v>
      </c>
    </row>
    <row r="17" ht="20.05" customHeight="1">
      <c r="B17" s="26"/>
      <c r="C17" s="15"/>
      <c r="D17" s="17">
        <f>'Model'!C6</f>
        <v>56.0274</v>
      </c>
      <c r="E17" s="17"/>
      <c r="F17" s="17"/>
      <c r="G17" s="12"/>
      <c r="H17" s="12"/>
      <c r="I17" s="12"/>
      <c r="J17" s="12">
        <f>'Model'!C7</f>
        <v>-0.82275101111242</v>
      </c>
    </row>
    <row r="18" ht="20.05" customHeight="1">
      <c r="B18" s="26"/>
      <c r="C18" s="15"/>
      <c r="D18" s="17">
        <f>'Model'!D6</f>
        <v>57.708222</v>
      </c>
      <c r="E18" s="17"/>
      <c r="F18" s="17"/>
      <c r="G18" s="12"/>
      <c r="H18" s="12"/>
      <c r="I18" s="12"/>
      <c r="J18" s="12"/>
    </row>
    <row r="19" ht="20.05" customHeight="1">
      <c r="B19" s="26"/>
      <c r="C19" s="15"/>
      <c r="D19" s="17">
        <f>'Model'!E6</f>
        <v>61.74779754</v>
      </c>
      <c r="E19" s="17">
        <f>SUM(C15:C16)</f>
        <v>86.815</v>
      </c>
      <c r="F19" s="17">
        <f>SUM(D15:D16)</f>
        <v>82.693853</v>
      </c>
      <c r="G19" s="12"/>
      <c r="H19" s="12"/>
      <c r="I19" s="12"/>
      <c r="J19" s="12"/>
    </row>
    <row r="20" ht="20.05" customHeight="1">
      <c r="B20" s="27">
        <v>2023</v>
      </c>
      <c r="C20" s="15"/>
      <c r="D20" s="17">
        <f>'Model'!F6</f>
        <v>58.660407663</v>
      </c>
      <c r="E20" s="17"/>
      <c r="F20" s="17"/>
      <c r="G20" s="12"/>
      <c r="H20" s="12"/>
      <c r="I20" s="12"/>
      <c r="J20" s="12"/>
    </row>
  </sheetData>
  <mergeCells count="1">
    <mergeCell ref="B2:J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B3:N17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3.84375" style="29" customWidth="1"/>
    <col min="2" max="2" width="8.96875" style="29" customWidth="1"/>
    <col min="3" max="14" width="9.10156" style="29" customWidth="1"/>
    <col min="15" max="16384" width="16.3516" style="29" customWidth="1"/>
  </cols>
  <sheetData>
    <row r="1" ht="46.15" customHeight="1"/>
    <row r="2" ht="27.65" customHeight="1">
      <c r="B2" t="s" s="2">
        <v>3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ht="32.25" customHeight="1">
      <c r="B3" t="s" s="5">
        <v>1</v>
      </c>
      <c r="C3" t="s" s="5">
        <v>42</v>
      </c>
      <c r="D3" t="s" s="5">
        <v>8</v>
      </c>
      <c r="E3" t="s" s="5">
        <v>9</v>
      </c>
      <c r="F3" t="s" s="5">
        <v>10</v>
      </c>
      <c r="G3" t="s" s="5">
        <v>13</v>
      </c>
      <c r="H3" t="s" s="5">
        <v>43</v>
      </c>
      <c r="I3" t="s" s="5">
        <v>44</v>
      </c>
      <c r="J3" t="s" s="5">
        <v>45</v>
      </c>
      <c r="K3" t="s" s="5">
        <v>34</v>
      </c>
      <c r="L3" t="s" s="5">
        <v>29</v>
      </c>
      <c r="M3" t="s" s="5">
        <v>34</v>
      </c>
      <c r="N3" s="30"/>
    </row>
    <row r="4" ht="20.25" customHeight="1">
      <c r="B4" s="23">
        <v>2019</v>
      </c>
      <c r="C4" s="24">
        <v>28</v>
      </c>
      <c r="D4" s="25">
        <v>2.5</v>
      </c>
      <c r="E4" s="25">
        <v>2.8</v>
      </c>
      <c r="F4" s="25"/>
      <c r="G4" s="25"/>
      <c r="H4" s="25">
        <v>-11.9</v>
      </c>
      <c r="I4" s="25">
        <f>D4+E4</f>
        <v>5.3</v>
      </c>
      <c r="J4" s="25"/>
      <c r="K4" s="25"/>
      <c r="L4" s="25">
        <f>-(F4+G4)</f>
        <v>0</v>
      </c>
      <c r="M4" s="25"/>
      <c r="N4" s="25">
        <v>1</v>
      </c>
    </row>
    <row r="5" ht="20.05" customHeight="1">
      <c r="B5" s="26"/>
      <c r="C5" s="15">
        <f>60.7-C4</f>
        <v>32.7</v>
      </c>
      <c r="D5" s="17">
        <f>-4.4-D4</f>
        <v>-6.9</v>
      </c>
      <c r="E5" s="17">
        <f>-3.5-E4</f>
        <v>-6.3</v>
      </c>
      <c r="F5" s="17"/>
      <c r="G5" s="17"/>
      <c r="H5" s="17">
        <f>-6.3-H4</f>
        <v>5.6</v>
      </c>
      <c r="I5" s="17">
        <f>D5+E5</f>
        <v>-13.2</v>
      </c>
      <c r="J5" s="17">
        <f>AVERAGE(I3:I5)</f>
        <v>-3.95</v>
      </c>
      <c r="K5" s="17"/>
      <c r="L5" s="17">
        <f>-(F5+G5)+L4</f>
        <v>0</v>
      </c>
      <c r="M5" s="17"/>
      <c r="N5" s="17">
        <f>1+N4</f>
        <v>2</v>
      </c>
    </row>
    <row r="6" ht="20.05" customHeight="1">
      <c r="B6" s="26"/>
      <c r="C6" s="15">
        <f>127.5-C5-C4</f>
        <v>66.8</v>
      </c>
      <c r="D6" s="17">
        <f>27.7-D5-D4</f>
        <v>32.1</v>
      </c>
      <c r="E6" s="17">
        <f>-4.9-E5-E4</f>
        <v>-1.4</v>
      </c>
      <c r="F6" s="17"/>
      <c r="G6" s="17"/>
      <c r="H6" s="17">
        <f>-42.8-H5-H4</f>
        <v>-36.5</v>
      </c>
      <c r="I6" s="17">
        <f>D6+E6</f>
        <v>30.7</v>
      </c>
      <c r="J6" s="17">
        <f>AVERAGE(I3:I6)</f>
        <v>7.6</v>
      </c>
      <c r="K6" s="17"/>
      <c r="L6" s="17">
        <f>-(F6+G6)+L5</f>
        <v>0</v>
      </c>
      <c r="M6" s="17"/>
      <c r="N6" s="17">
        <f>1+N5</f>
        <v>3</v>
      </c>
    </row>
    <row r="7" ht="20.05" customHeight="1">
      <c r="B7" s="26"/>
      <c r="C7" s="15">
        <f>175.8-C6-C5-C4</f>
        <v>48.3</v>
      </c>
      <c r="D7" s="17">
        <f>35.9-D6-D5-D4</f>
        <v>8.199999999999999</v>
      </c>
      <c r="E7" s="17">
        <f>-60.9-E6-E5-E4</f>
        <v>-56</v>
      </c>
      <c r="F7" s="17"/>
      <c r="G7" s="17"/>
      <c r="H7" s="17">
        <f>2.98-H6-H5-H4</f>
        <v>45.78</v>
      </c>
      <c r="I7" s="17">
        <f>D7+E7</f>
        <v>-47.8</v>
      </c>
      <c r="J7" s="17">
        <f>AVERAGE(I4:I7)</f>
        <v>-6.25</v>
      </c>
      <c r="K7" s="17"/>
      <c r="L7" s="17">
        <f>-(F7+G7)+L6</f>
        <v>0</v>
      </c>
      <c r="M7" s="17"/>
      <c r="N7" s="17">
        <f>1+N6</f>
        <v>4</v>
      </c>
    </row>
    <row r="8" ht="20.05" customHeight="1">
      <c r="B8" s="27">
        <v>2020</v>
      </c>
      <c r="C8" s="15">
        <v>47.3</v>
      </c>
      <c r="D8" s="17">
        <v>10.3</v>
      </c>
      <c r="E8" s="17">
        <v>-3</v>
      </c>
      <c r="F8" s="17">
        <v>-1.75</v>
      </c>
      <c r="G8" s="17"/>
      <c r="H8" s="17">
        <v>-5.9</v>
      </c>
      <c r="I8" s="17">
        <f>D8+E8</f>
        <v>7.3</v>
      </c>
      <c r="J8" s="17">
        <f>AVERAGE(I5:I8)</f>
        <v>-5.75</v>
      </c>
      <c r="K8" s="17"/>
      <c r="L8" s="17">
        <f>-(F8+G8)+L7</f>
        <v>1.75</v>
      </c>
      <c r="M8" s="17"/>
      <c r="N8" s="17">
        <f>1+N7</f>
        <v>5</v>
      </c>
    </row>
    <row r="9" ht="20.05" customHeight="1">
      <c r="B9" s="26"/>
      <c r="C9" s="15">
        <v>30.1</v>
      </c>
      <c r="D9" s="17">
        <v>1.1</v>
      </c>
      <c r="E9" s="17">
        <v>-1.6</v>
      </c>
      <c r="F9" s="17">
        <v>-1.75</v>
      </c>
      <c r="G9" s="17"/>
      <c r="H9" s="17">
        <v>-4.3</v>
      </c>
      <c r="I9" s="17">
        <f>D9+E9</f>
        <v>-0.5</v>
      </c>
      <c r="J9" s="17">
        <f>AVERAGE(I6:I9)</f>
        <v>-2.575</v>
      </c>
      <c r="K9" s="17"/>
      <c r="L9" s="17">
        <f>-(F9+G9)+L8</f>
        <v>3.5</v>
      </c>
      <c r="M9" s="17"/>
      <c r="N9" s="17">
        <f>1+N8</f>
        <v>6</v>
      </c>
    </row>
    <row r="10" ht="20.05" customHeight="1">
      <c r="B10" s="26"/>
      <c r="C10" s="15">
        <v>32.6</v>
      </c>
      <c r="D10" s="17">
        <v>4</v>
      </c>
      <c r="E10" s="17">
        <v>-0.4</v>
      </c>
      <c r="F10" s="17">
        <v>-1.75</v>
      </c>
      <c r="G10" s="17"/>
      <c r="H10" s="17">
        <v>-0.1</v>
      </c>
      <c r="I10" s="17">
        <f>D10+E10</f>
        <v>3.6</v>
      </c>
      <c r="J10" s="17">
        <f>AVERAGE(I7:I10)</f>
        <v>-9.35</v>
      </c>
      <c r="K10" s="17"/>
      <c r="L10" s="17">
        <f>-(F10+G10)+L9</f>
        <v>5.25</v>
      </c>
      <c r="M10" s="17"/>
      <c r="N10" s="17">
        <f>1+N9</f>
        <v>7</v>
      </c>
    </row>
    <row r="11" ht="20.05" customHeight="1">
      <c r="B11" s="26"/>
      <c r="C11" s="15">
        <v>36.3</v>
      </c>
      <c r="D11" s="17">
        <v>3.5</v>
      </c>
      <c r="E11" s="17">
        <v>-2.6</v>
      </c>
      <c r="F11" s="17">
        <v>-1.75</v>
      </c>
      <c r="G11" s="17"/>
      <c r="H11" s="17">
        <v>-2</v>
      </c>
      <c r="I11" s="17">
        <f>D11+E11</f>
        <v>0.9</v>
      </c>
      <c r="J11" s="17">
        <f>AVERAGE(I8:I11)</f>
        <v>2.825</v>
      </c>
      <c r="K11" s="17"/>
      <c r="L11" s="17">
        <f>-(F11+G11)+L10</f>
        <v>7</v>
      </c>
      <c r="M11" s="17"/>
      <c r="N11" s="17">
        <f>1+N10</f>
        <v>8</v>
      </c>
    </row>
    <row r="12" ht="20.05" customHeight="1">
      <c r="B12" s="27">
        <v>2021</v>
      </c>
      <c r="C12" s="15">
        <v>40.7</v>
      </c>
      <c r="D12" s="17">
        <v>6.5</v>
      </c>
      <c r="E12" s="17">
        <v>2.6</v>
      </c>
      <c r="F12" s="17"/>
      <c r="G12" s="17"/>
      <c r="H12" s="17">
        <v>-4.8</v>
      </c>
      <c r="I12" s="17">
        <f>D12+E12</f>
        <v>9.1</v>
      </c>
      <c r="J12" s="17">
        <f>AVERAGE(I9:I12)</f>
        <v>3.275</v>
      </c>
      <c r="K12" s="17"/>
      <c r="L12" s="17">
        <f>-(F12+G12)+L11</f>
        <v>7</v>
      </c>
      <c r="M12" s="17"/>
      <c r="N12" s="17">
        <f>1+N11</f>
        <v>9</v>
      </c>
    </row>
    <row r="13" ht="20.05" customHeight="1">
      <c r="B13" s="26"/>
      <c r="C13" s="15">
        <v>46.5</v>
      </c>
      <c r="D13" s="17">
        <v>9.6</v>
      </c>
      <c r="E13" s="17">
        <v>-6</v>
      </c>
      <c r="F13" s="17"/>
      <c r="G13" s="17"/>
      <c r="H13" s="17">
        <v>-6.6</v>
      </c>
      <c r="I13" s="17">
        <f>D13+E13</f>
        <v>3.6</v>
      </c>
      <c r="J13" s="17">
        <f>AVERAGE(I10:I13)</f>
        <v>4.3</v>
      </c>
      <c r="K13" s="17"/>
      <c r="L13" s="17">
        <f>-(F13+G13)+L12</f>
        <v>7</v>
      </c>
      <c r="M13" s="17"/>
      <c r="N13" s="17">
        <f>1+N12</f>
        <v>10</v>
      </c>
    </row>
    <row r="14" ht="20.05" customHeight="1">
      <c r="B14" s="26"/>
      <c r="C14" s="15">
        <v>39.767</v>
      </c>
      <c r="D14" s="17">
        <v>8.25</v>
      </c>
      <c r="E14" s="17">
        <v>8.380000000000001</v>
      </c>
      <c r="F14" s="17"/>
      <c r="G14" s="17"/>
      <c r="H14" s="17">
        <v>-11.38</v>
      </c>
      <c r="I14" s="17">
        <f>D14+E14</f>
        <v>16.63</v>
      </c>
      <c r="J14" s="17">
        <f>AVERAGE(I11:I14)</f>
        <v>7.5575</v>
      </c>
      <c r="K14" s="17"/>
      <c r="L14" s="17">
        <f>-(F14+G14)+L13</f>
        <v>7</v>
      </c>
      <c r="M14" s="17"/>
      <c r="N14" s="17">
        <f>1+N13</f>
        <v>11</v>
      </c>
    </row>
    <row r="15" ht="20.05" customHeight="1">
      <c r="B15" s="26"/>
      <c r="C15" s="15">
        <v>32.926</v>
      </c>
      <c r="D15" s="28">
        <v>5.572</v>
      </c>
      <c r="E15" s="28">
        <f>4.9-E14-E13-E12</f>
        <v>-0.08</v>
      </c>
      <c r="F15" s="28"/>
      <c r="G15" s="28"/>
      <c r="H15" s="28">
        <f>-28.9-H14-H13-H12</f>
        <v>-6.12</v>
      </c>
      <c r="I15" s="17">
        <f>D15+E15</f>
        <v>5.492</v>
      </c>
      <c r="J15" s="17">
        <f>AVERAGE(I12:I15)</f>
        <v>8.705500000000001</v>
      </c>
      <c r="K15" s="17"/>
      <c r="L15" s="17">
        <f>-(F15+G15)+L14</f>
        <v>7</v>
      </c>
      <c r="M15" s="17"/>
      <c r="N15" s="17">
        <f>1+N14</f>
        <v>12</v>
      </c>
    </row>
    <row r="16" ht="20.05" customHeight="1">
      <c r="B16" s="27">
        <v>2022</v>
      </c>
      <c r="C16" s="15">
        <v>47.608</v>
      </c>
      <c r="D16" s="28">
        <v>8.33</v>
      </c>
      <c r="E16" s="28">
        <v>-0.733</v>
      </c>
      <c r="F16" s="28"/>
      <c r="G16" s="28"/>
      <c r="H16" s="28">
        <v>-5.885</v>
      </c>
      <c r="I16" s="17">
        <f>D16+E16</f>
        <v>7.597</v>
      </c>
      <c r="J16" s="17">
        <f>AVERAGE(I13:I16)</f>
        <v>8.329750000000001</v>
      </c>
      <c r="K16" s="17">
        <v>9.664497945999999</v>
      </c>
      <c r="L16" s="17">
        <f>-(F16+G16)+L15</f>
        <v>7</v>
      </c>
      <c r="M16" s="17">
        <v>45.569756626</v>
      </c>
      <c r="N16" s="17">
        <f>1+N15</f>
        <v>13</v>
      </c>
    </row>
    <row r="17" ht="20.05" customHeight="1">
      <c r="B17" s="26"/>
      <c r="C17" s="15"/>
      <c r="D17" s="17"/>
      <c r="E17" s="17"/>
      <c r="F17" s="17"/>
      <c r="G17" s="17"/>
      <c r="H17" s="17"/>
      <c r="I17" s="18"/>
      <c r="J17" s="18"/>
      <c r="K17" s="31">
        <f>SUM('Model'!F9:F10)</f>
        <v>9.664497945999999</v>
      </c>
      <c r="L17" s="18"/>
      <c r="M17" s="17">
        <f>'Model'!F33</f>
        <v>45.569756626</v>
      </c>
      <c r="N17" s="18"/>
    </row>
  </sheetData>
  <mergeCells count="1">
    <mergeCell ref="B2:N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dimension ref="B3:K17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3.84375" style="32" customWidth="1"/>
    <col min="2" max="2" width="11.375" style="32" customWidth="1"/>
    <col min="3" max="11" width="9.24219" style="32" customWidth="1"/>
    <col min="12" max="16384" width="16.3516" style="32" customWidth="1"/>
  </cols>
  <sheetData>
    <row r="1" ht="46.15" customHeight="1"/>
    <row r="2" ht="27.65" customHeight="1">
      <c r="B2" t="s" s="2">
        <v>46</v>
      </c>
      <c r="C2" s="2"/>
      <c r="D2" s="2"/>
      <c r="E2" s="2"/>
      <c r="F2" s="2"/>
      <c r="G2" s="2"/>
      <c r="H2" s="2"/>
      <c r="I2" s="2"/>
      <c r="J2" s="2"/>
      <c r="K2" s="2"/>
    </row>
    <row r="3" ht="32.25" customHeight="1">
      <c r="B3" t="s" s="5">
        <v>1</v>
      </c>
      <c r="C3" t="s" s="5">
        <v>47</v>
      </c>
      <c r="D3" t="s" s="5">
        <v>48</v>
      </c>
      <c r="E3" t="s" s="5">
        <v>49</v>
      </c>
      <c r="F3" t="s" s="5">
        <v>24</v>
      </c>
      <c r="G3" t="s" s="5">
        <v>10</v>
      </c>
      <c r="H3" t="s" s="5">
        <v>13</v>
      </c>
      <c r="I3" t="s" s="5">
        <v>26</v>
      </c>
      <c r="J3" t="s" s="5">
        <v>27</v>
      </c>
      <c r="K3" t="s" s="5">
        <v>34</v>
      </c>
    </row>
    <row r="4" ht="20.25" customHeight="1">
      <c r="B4" s="23">
        <v>2019</v>
      </c>
      <c r="C4" s="24">
        <v>15.6</v>
      </c>
      <c r="D4" s="25">
        <v>333.7</v>
      </c>
      <c r="E4" s="25">
        <f>D4-C4</f>
        <v>318.1</v>
      </c>
      <c r="F4" s="33"/>
      <c r="G4" s="25">
        <v>396.1</v>
      </c>
      <c r="H4" s="25">
        <f>D4-G4</f>
        <v>-62.4</v>
      </c>
      <c r="I4" s="25">
        <f>C4+E4-G4-H4</f>
        <v>0</v>
      </c>
      <c r="J4" s="34">
        <f>C4-G4</f>
        <v>-380.5</v>
      </c>
      <c r="K4" s="34"/>
    </row>
    <row r="5" ht="20.05" customHeight="1">
      <c r="B5" s="26"/>
      <c r="C5" s="15">
        <v>13.6</v>
      </c>
      <c r="D5" s="17">
        <v>329.4</v>
      </c>
      <c r="E5" s="17">
        <f>D5-C5</f>
        <v>315.8</v>
      </c>
      <c r="F5" s="18"/>
      <c r="G5" s="17">
        <v>389.5</v>
      </c>
      <c r="H5" s="17">
        <f>D5-G5</f>
        <v>-60.1</v>
      </c>
      <c r="I5" s="17">
        <f>C5+E5-G5-H5</f>
        <v>0</v>
      </c>
      <c r="J5" s="14">
        <f>C5-G5</f>
        <v>-375.9</v>
      </c>
      <c r="K5" s="14"/>
    </row>
    <row r="6" ht="20.05" customHeight="1">
      <c r="B6" s="26"/>
      <c r="C6" s="15">
        <v>7.8</v>
      </c>
      <c r="D6" s="17">
        <v>316.6</v>
      </c>
      <c r="E6" s="17">
        <f>D6-C6</f>
        <v>308.8</v>
      </c>
      <c r="F6" s="18"/>
      <c r="G6" s="17">
        <v>366.8</v>
      </c>
      <c r="H6" s="17">
        <f>D6-G6</f>
        <v>-50.2</v>
      </c>
      <c r="I6" s="17">
        <f>C6+E6-G6-H6</f>
        <v>0</v>
      </c>
      <c r="J6" s="14">
        <f>C6-G6</f>
        <v>-359</v>
      </c>
      <c r="K6" s="14"/>
    </row>
    <row r="7" ht="20.05" customHeight="1">
      <c r="B7" s="26"/>
      <c r="C7" s="15">
        <v>5.7</v>
      </c>
      <c r="D7" s="17">
        <v>357.5</v>
      </c>
      <c r="E7" s="17">
        <f>D7-C7</f>
        <v>351.8</v>
      </c>
      <c r="F7" s="18"/>
      <c r="G7" s="17">
        <v>409</v>
      </c>
      <c r="H7" s="17">
        <f>D7-G7</f>
        <v>-51.5</v>
      </c>
      <c r="I7" s="17">
        <f>C7+E7-G7-H7</f>
        <v>0</v>
      </c>
      <c r="J7" s="14">
        <f>C7-G7</f>
        <v>-403.3</v>
      </c>
      <c r="K7" s="14"/>
    </row>
    <row r="8" ht="20.05" customHeight="1">
      <c r="B8" s="27">
        <v>2020</v>
      </c>
      <c r="C8" s="15">
        <v>7.14</v>
      </c>
      <c r="D8" s="17">
        <v>351.6</v>
      </c>
      <c r="E8" s="17">
        <f>D8-C8</f>
        <v>344.46</v>
      </c>
      <c r="F8" s="18"/>
      <c r="G8" s="17">
        <v>401.6</v>
      </c>
      <c r="H8" s="17">
        <f>D8-G8</f>
        <v>-50</v>
      </c>
      <c r="I8" s="17">
        <f>C8+E8-G8-H8</f>
        <v>0</v>
      </c>
      <c r="J8" s="14">
        <f>C8-G8</f>
        <v>-394.46</v>
      </c>
      <c r="K8" s="14"/>
    </row>
    <row r="9" ht="20.05" customHeight="1">
      <c r="B9" s="26"/>
      <c r="C9" s="15">
        <v>2.34</v>
      </c>
      <c r="D9" s="17">
        <v>332.3</v>
      </c>
      <c r="E9" s="17">
        <f>D9-C9</f>
        <v>329.96</v>
      </c>
      <c r="F9" s="17"/>
      <c r="G9" s="17">
        <v>394.5</v>
      </c>
      <c r="H9" s="17">
        <f>D9-G9</f>
        <v>-62.2</v>
      </c>
      <c r="I9" s="17">
        <f>C9+E9-G9-H9</f>
        <v>0</v>
      </c>
      <c r="J9" s="14">
        <f>C9-G9</f>
        <v>-392.16</v>
      </c>
      <c r="K9" s="14"/>
    </row>
    <row r="10" ht="20.05" customHeight="1">
      <c r="B10" s="26"/>
      <c r="C10" s="15">
        <v>5.7</v>
      </c>
      <c r="D10" s="17">
        <v>329.8</v>
      </c>
      <c r="E10" s="17">
        <f>D10-C10</f>
        <v>324.1</v>
      </c>
      <c r="F10" s="17"/>
      <c r="G10" s="17">
        <v>394.1</v>
      </c>
      <c r="H10" s="17">
        <f>D10-G10</f>
        <v>-64.3</v>
      </c>
      <c r="I10" s="17">
        <f>C10+E10-G10-H10</f>
        <v>0</v>
      </c>
      <c r="J10" s="14">
        <f>C10-G10</f>
        <v>-388.4</v>
      </c>
      <c r="K10" s="14"/>
    </row>
    <row r="11" ht="20.05" customHeight="1">
      <c r="B11" s="26"/>
      <c r="C11" s="15">
        <v>4.7</v>
      </c>
      <c r="D11" s="17">
        <v>322.1</v>
      </c>
      <c r="E11" s="17">
        <f>D11-C11</f>
        <v>317.4</v>
      </c>
      <c r="F11" s="17"/>
      <c r="G11" s="17">
        <v>391</v>
      </c>
      <c r="H11" s="17">
        <f>D11-G11</f>
        <v>-68.90000000000001</v>
      </c>
      <c r="I11" s="17">
        <f>C11+E11-G11-H11</f>
        <v>0</v>
      </c>
      <c r="J11" s="14">
        <f>C11-G11</f>
        <v>-386.3</v>
      </c>
      <c r="K11" s="14"/>
    </row>
    <row r="12" ht="20.05" customHeight="1">
      <c r="B12" s="27">
        <v>2021</v>
      </c>
      <c r="C12" s="15">
        <v>9</v>
      </c>
      <c r="D12" s="17">
        <v>320.4</v>
      </c>
      <c r="E12" s="17">
        <f>D12-C12</f>
        <v>311.4</v>
      </c>
      <c r="F12" s="18"/>
      <c r="G12" s="17">
        <v>389.5</v>
      </c>
      <c r="H12" s="17">
        <f>D12-G12</f>
        <v>-69.09999999999999</v>
      </c>
      <c r="I12" s="17">
        <f>C12+E12-G12-H12</f>
        <v>0</v>
      </c>
      <c r="J12" s="14">
        <f>C12-G12</f>
        <v>-380.5</v>
      </c>
      <c r="K12" s="14"/>
    </row>
    <row r="13" ht="20.05" customHeight="1">
      <c r="B13" s="26"/>
      <c r="C13" s="15">
        <v>6</v>
      </c>
      <c r="D13" s="17">
        <v>308.4</v>
      </c>
      <c r="E13" s="17">
        <f>D13-C13</f>
        <v>302.4</v>
      </c>
      <c r="F13" s="18"/>
      <c r="G13" s="17">
        <v>376.2</v>
      </c>
      <c r="H13" s="17">
        <f>D13-G13</f>
        <v>-67.8</v>
      </c>
      <c r="I13" s="17">
        <f>C13+E13-G13-H13</f>
        <v>0</v>
      </c>
      <c r="J13" s="14">
        <f>C13-G13</f>
        <v>-370.2</v>
      </c>
      <c r="K13" s="14"/>
    </row>
    <row r="14" ht="20.05" customHeight="1">
      <c r="B14" s="26"/>
      <c r="C14" s="15">
        <v>11.25</v>
      </c>
      <c r="D14" s="17">
        <v>304.871</v>
      </c>
      <c r="E14" s="17">
        <f>D14-C14</f>
        <v>293.621</v>
      </c>
      <c r="F14" s="17"/>
      <c r="G14" s="17">
        <v>373.638</v>
      </c>
      <c r="H14" s="17">
        <f>D14-G14</f>
        <v>-68.767</v>
      </c>
      <c r="I14" s="17">
        <f>C14+E14-G14-H14</f>
        <v>0</v>
      </c>
      <c r="J14" s="14">
        <f>C14-G14</f>
        <v>-362.388</v>
      </c>
      <c r="K14" s="14"/>
    </row>
    <row r="15" ht="20.05" customHeight="1">
      <c r="B15" s="26"/>
      <c r="C15" s="35">
        <v>10.643</v>
      </c>
      <c r="D15" s="28">
        <v>298.604</v>
      </c>
      <c r="E15" s="28">
        <f>D15-C15</f>
        <v>287.961</v>
      </c>
      <c r="F15" s="17"/>
      <c r="G15" s="28">
        <v>366.839</v>
      </c>
      <c r="H15" s="28">
        <f>D15-G15</f>
        <v>-68.235</v>
      </c>
      <c r="I15" s="28">
        <f>C15+E15-G15-H15</f>
        <v>0</v>
      </c>
      <c r="J15" s="36">
        <f>C15-G15</f>
        <v>-356.196</v>
      </c>
      <c r="K15" s="14"/>
    </row>
    <row r="16" ht="20.05" customHeight="1">
      <c r="B16" s="27">
        <v>2022</v>
      </c>
      <c r="C16" s="35">
        <v>12.355</v>
      </c>
      <c r="D16" s="28">
        <v>295.944</v>
      </c>
      <c r="E16" s="28">
        <f>D16-C16</f>
        <v>283.589</v>
      </c>
      <c r="F16" s="17">
        <f>SUM('Sales'!E8:E16)</f>
        <v>67.42100000000001</v>
      </c>
      <c r="G16" s="28">
        <v>362.575</v>
      </c>
      <c r="H16" s="28">
        <f>D16-G16</f>
        <v>-66.631</v>
      </c>
      <c r="I16" s="28">
        <f>C16+E16-G16-H16</f>
        <v>0</v>
      </c>
      <c r="J16" s="36">
        <f>C16-G16</f>
        <v>-350.22</v>
      </c>
      <c r="K16" s="14">
        <v>-315.1919703618</v>
      </c>
    </row>
    <row r="17" ht="20.05" customHeight="1">
      <c r="B17" s="26"/>
      <c r="C17" s="15"/>
      <c r="D17" s="17"/>
      <c r="E17" s="17"/>
      <c r="F17" s="17"/>
      <c r="G17" s="17"/>
      <c r="H17" s="17"/>
      <c r="I17" s="17"/>
      <c r="J17" s="36"/>
      <c r="K17" s="36">
        <f>'Model'!F31</f>
        <v>-315.1919703618</v>
      </c>
    </row>
  </sheetData>
  <mergeCells count="1">
    <mergeCell ref="B2:K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dimension ref="B3:D18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3.74219" style="37" customWidth="1"/>
    <col min="2" max="2" width="11.9766" style="37" customWidth="1"/>
    <col min="3" max="4" width="15.0703" style="37" customWidth="1"/>
    <col min="5" max="16384" width="16.3516" style="37" customWidth="1"/>
  </cols>
  <sheetData>
    <row r="1" ht="9.2" customHeight="1"/>
    <row r="2" ht="27.65" customHeight="1">
      <c r="B2" t="s" s="2">
        <v>50</v>
      </c>
      <c r="C2" s="2"/>
      <c r="D2" s="2"/>
    </row>
    <row r="3" ht="20.25" customHeight="1">
      <c r="B3" s="30"/>
      <c r="C3" t="s" s="5">
        <v>38</v>
      </c>
      <c r="D3" t="s" s="5">
        <v>51</v>
      </c>
    </row>
    <row r="4" ht="20.25" customHeight="1">
      <c r="B4" s="38">
        <v>2019</v>
      </c>
      <c r="C4" s="39">
        <v>206</v>
      </c>
      <c r="D4" s="40"/>
    </row>
    <row r="5" ht="20.05" customHeight="1">
      <c r="B5" s="41"/>
      <c r="C5" s="42">
        <v>218</v>
      </c>
      <c r="D5" s="36"/>
    </row>
    <row r="6" ht="20.05" customHeight="1">
      <c r="B6" s="41"/>
      <c r="C6" s="42">
        <v>204</v>
      </c>
      <c r="D6" s="36"/>
    </row>
    <row r="7" ht="20.05" customHeight="1">
      <c r="B7" s="41"/>
      <c r="C7" s="42">
        <v>206</v>
      </c>
      <c r="D7" s="36"/>
    </row>
    <row r="8" ht="20.05" customHeight="1">
      <c r="B8" s="43">
        <v>2020</v>
      </c>
      <c r="C8" s="42">
        <v>191</v>
      </c>
      <c r="D8" s="36"/>
    </row>
    <row r="9" ht="20.05" customHeight="1">
      <c r="B9" s="41"/>
      <c r="C9" s="42">
        <v>191</v>
      </c>
      <c r="D9" s="36"/>
    </row>
    <row r="10" ht="20.05" customHeight="1">
      <c r="B10" s="41"/>
      <c r="C10" s="42">
        <v>174</v>
      </c>
      <c r="D10" s="36"/>
    </row>
    <row r="11" ht="20.05" customHeight="1">
      <c r="B11" s="41"/>
      <c r="C11" s="42">
        <v>188</v>
      </c>
      <c r="D11" s="36"/>
    </row>
    <row r="12" ht="20.05" customHeight="1">
      <c r="B12" s="43">
        <v>2021</v>
      </c>
      <c r="C12" s="42">
        <v>184</v>
      </c>
      <c r="D12" s="36"/>
    </row>
    <row r="13" ht="20.05" customHeight="1">
      <c r="B13" s="41"/>
      <c r="C13" s="42">
        <v>189</v>
      </c>
      <c r="D13" s="36"/>
    </row>
    <row r="14" ht="20.05" customHeight="1">
      <c r="B14" s="41"/>
      <c r="C14" s="42">
        <v>190</v>
      </c>
      <c r="D14" s="36"/>
    </row>
    <row r="15" ht="20.05" customHeight="1">
      <c r="B15" s="41"/>
      <c r="C15" s="42">
        <v>220</v>
      </c>
      <c r="D15" s="36"/>
    </row>
    <row r="16" ht="20.05" customHeight="1">
      <c r="B16" s="43">
        <v>2022</v>
      </c>
      <c r="C16" s="42">
        <v>210</v>
      </c>
      <c r="D16" s="36"/>
    </row>
    <row r="17" ht="20.05" customHeight="1">
      <c r="B17" s="41"/>
      <c r="C17" s="42">
        <v>218</v>
      </c>
      <c r="D17" s="36">
        <v>305</v>
      </c>
    </row>
    <row r="18" ht="20.05" customHeight="1">
      <c r="B18" s="41"/>
      <c r="C18" s="42"/>
      <c r="D18" s="36">
        <f>'Model'!F44</f>
        <v>344.851462934048</v>
      </c>
    </row>
  </sheetData>
  <mergeCells count="1">
    <mergeCell ref="B2:D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6.xml><?xml version="1.0" encoding="utf-8"?>
<worksheet xmlns:r="http://schemas.openxmlformats.org/officeDocument/2006/relationships" xmlns="http://schemas.openxmlformats.org/spreadsheetml/2006/main">
  <sheetPr>
    <pageSetUpPr fitToPage="1"/>
  </sheetPr>
  <dimension ref="A2:G13"/>
  <sheetViews>
    <sheetView workbookViewId="0" showGridLines="0" defaultGridColor="1">
      <pane topLeftCell="B3" xSplit="1" ySplit="2" activePane="bottomRight" state="frozen"/>
    </sheetView>
  </sheetViews>
  <sheetFormatPr defaultColWidth="16.3333" defaultRowHeight="19.9" customHeight="1" outlineLevelRow="0" outlineLevelCol="0"/>
  <cols>
    <col min="1" max="1" width="10.1953" style="44" customWidth="1"/>
    <col min="2" max="7" width="11.0703" style="44" customWidth="1"/>
    <col min="8" max="16384" width="16.3516" style="44" customWidth="1"/>
  </cols>
  <sheetData>
    <row r="1" ht="27.65" customHeight="1">
      <c r="A1" t="s" s="2">
        <v>52</v>
      </c>
      <c r="B1" s="2"/>
      <c r="C1" s="2"/>
      <c r="D1" s="2"/>
      <c r="E1" s="2"/>
      <c r="F1" s="2"/>
      <c r="G1" s="2"/>
    </row>
    <row r="2" ht="20.25" customHeight="1">
      <c r="A2" s="4"/>
      <c r="B2" t="s" s="3">
        <v>10</v>
      </c>
      <c r="C2" t="s" s="3">
        <v>13</v>
      </c>
      <c r="D2" t="s" s="3">
        <v>53</v>
      </c>
      <c r="E2" t="s" s="3">
        <v>10</v>
      </c>
      <c r="F2" t="s" s="3">
        <v>13</v>
      </c>
      <c r="G2" t="s" s="3">
        <v>53</v>
      </c>
    </row>
    <row r="3" ht="20.25" customHeight="1">
      <c r="A3" s="38">
        <v>2012</v>
      </c>
      <c r="B3" s="39">
        <v>-7.3</v>
      </c>
      <c r="C3" s="40">
        <v>7.3</v>
      </c>
      <c r="D3" s="40">
        <f>B3+C3</f>
        <v>0</v>
      </c>
      <c r="E3" s="40"/>
      <c r="F3" s="40"/>
      <c r="G3" s="40"/>
    </row>
    <row r="4" ht="20.05" customHeight="1">
      <c r="A4" s="43">
        <f>1+$A3</f>
        <v>2013</v>
      </c>
      <c r="B4" s="42">
        <v>-5.237</v>
      </c>
      <c r="C4" s="36">
        <v>12.537</v>
      </c>
      <c r="D4" s="36">
        <f>B4+C4</f>
        <v>7.3</v>
      </c>
      <c r="E4" s="36"/>
      <c r="F4" s="36"/>
      <c r="G4" s="36"/>
    </row>
    <row r="5" ht="20.05" customHeight="1">
      <c r="A5" s="43">
        <f>1+$A4</f>
        <v>2014</v>
      </c>
      <c r="B5" s="42">
        <v>-5.1</v>
      </c>
      <c r="C5" s="36">
        <v>17.637</v>
      </c>
      <c r="D5" s="36">
        <f>B5+C5</f>
        <v>12.537</v>
      </c>
      <c r="E5" s="36"/>
      <c r="F5" s="36"/>
      <c r="G5" s="36"/>
    </row>
    <row r="6" ht="20.05" customHeight="1">
      <c r="A6" s="43">
        <f>1+$A5</f>
        <v>2015</v>
      </c>
      <c r="B6" s="42">
        <v>0.7</v>
      </c>
      <c r="C6" s="36">
        <v>16.937</v>
      </c>
      <c r="D6" s="36">
        <f>B6+C6</f>
        <v>17.637</v>
      </c>
      <c r="E6" s="36"/>
      <c r="F6" s="36"/>
      <c r="G6" s="36"/>
    </row>
    <row r="7" ht="20.05" customHeight="1">
      <c r="A7" s="43">
        <f>1+$A6</f>
        <v>2016</v>
      </c>
      <c r="B7" s="42">
        <v>6</v>
      </c>
      <c r="C7" s="36">
        <v>10.937</v>
      </c>
      <c r="D7" s="36">
        <f>B7+C7</f>
        <v>16.937</v>
      </c>
      <c r="E7" s="36"/>
      <c r="F7" s="36"/>
      <c r="G7" s="36"/>
    </row>
    <row r="8" ht="20.05" customHeight="1">
      <c r="A8" s="43">
        <f>1+$A7</f>
        <v>2017</v>
      </c>
      <c r="B8" s="42">
        <v>39</v>
      </c>
      <c r="C8" s="36">
        <v>-28.063</v>
      </c>
      <c r="D8" s="36">
        <f>B8+C8</f>
        <v>10.937</v>
      </c>
      <c r="E8" s="36"/>
      <c r="F8" s="36"/>
      <c r="G8" s="36"/>
    </row>
    <row r="9" ht="20.05" customHeight="1">
      <c r="A9" s="43">
        <f>1+$A8</f>
        <v>2018</v>
      </c>
      <c r="B9" s="42">
        <v>334</v>
      </c>
      <c r="C9" s="36">
        <v>-362.063</v>
      </c>
      <c r="D9" s="36">
        <f>B9+C9</f>
        <v>-28.063</v>
      </c>
      <c r="E9" s="36"/>
      <c r="F9" s="36"/>
      <c r="G9" s="36"/>
    </row>
    <row r="10" ht="20.05" customHeight="1">
      <c r="A10" s="43">
        <f>1+$A9</f>
        <v>2019</v>
      </c>
      <c r="B10" s="42">
        <v>3</v>
      </c>
      <c r="C10" s="36">
        <v>-365.063</v>
      </c>
      <c r="D10" s="36">
        <f>B10+C10</f>
        <v>-362.063</v>
      </c>
      <c r="E10" s="36"/>
      <c r="F10" s="36"/>
      <c r="G10" s="36"/>
    </row>
    <row r="11" ht="20.05" customHeight="1">
      <c r="A11" s="43">
        <f>1+$A10</f>
        <v>2020</v>
      </c>
      <c r="B11" s="42">
        <v>-12.3</v>
      </c>
      <c r="C11" s="36">
        <v>-352.763</v>
      </c>
      <c r="D11" s="36">
        <f>B11+C11</f>
        <v>-365.063</v>
      </c>
      <c r="E11" s="36"/>
      <c r="F11" s="36"/>
      <c r="G11" s="36"/>
    </row>
    <row r="12" ht="20.05" customHeight="1">
      <c r="A12" s="43">
        <f>1+$A11</f>
        <v>2021</v>
      </c>
      <c r="B12" s="42">
        <v>-51.646</v>
      </c>
      <c r="C12" s="36">
        <v>-301.117</v>
      </c>
      <c r="D12" s="36">
        <f>B12+C12</f>
        <v>-352.763</v>
      </c>
      <c r="E12" s="36"/>
      <c r="F12" s="36"/>
      <c r="G12" s="36"/>
    </row>
    <row r="13" ht="20.05" customHeight="1">
      <c r="A13" s="43">
        <f>1+$A12</f>
        <v>2022</v>
      </c>
      <c r="B13" s="19"/>
      <c r="C13" s="18"/>
      <c r="D13" s="18"/>
      <c r="E13" s="18"/>
      <c r="F13" s="18"/>
      <c r="G13" s="18"/>
    </row>
  </sheetData>
  <mergeCells count="1">
    <mergeCell ref="A1:G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