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<sst xmlns="http://schemas.openxmlformats.org/spreadsheetml/2006/main" uniqueCount="59">
  <si>
    <t>Financial model</t>
  </si>
  <si>
    <t>Rpbn</t>
  </si>
  <si>
    <t>4Q 2022</t>
  </si>
  <si>
    <t>Cash flow</t>
  </si>
  <si>
    <t>Growth</t>
  </si>
  <si>
    <t>Sales</t>
  </si>
  <si>
    <t>Cost ratio</t>
  </si>
  <si>
    <t xml:space="preserve">Cash cost </t>
  </si>
  <si>
    <t>Operating</t>
  </si>
  <si>
    <t>Investment</t>
  </si>
  <si>
    <t>Leases</t>
  </si>
  <si>
    <t>Finance</t>
  </si>
  <si>
    <t xml:space="preserve">Liabilities </t>
  </si>
  <si>
    <t xml:space="preserve">Revolver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</si>
  <si>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</si>
  <si>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</si>
  <si>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</si>
  <si>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</si>
  <si>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</si>
  <si>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</si>
  <si>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</si>
  <si>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</si>
  <si>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</si>
  <si>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</si>
  <si>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</si>
  <si>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</si>
  <si>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</si>
  <si>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</si>
  <si>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</si>
  <si>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</si>
  <si>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</si>
  <si>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</si>
  <si>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</si>
  <si>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</si>
  <si>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</si>
  <si>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</si>
  <si>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</si>
  <si>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</si>
  <si>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</si>
  <si>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</si>
  <si>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</si>
  <si>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</si>
  <si>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</si>
  <si>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</si>
  <si>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Retail sales</t>
  </si>
  <si>
    <t xml:space="preserve">Profit </t>
  </si>
  <si>
    <t xml:space="preserve">Sales growth </t>
  </si>
  <si>
    <t xml:space="preserve">Cost ratio </t>
  </si>
  <si>
    <t>Cashflow costs</t>
  </si>
  <si>
    <t xml:space="preserve">Receipts </t>
  </si>
  <si>
    <t xml:space="preserve">Operating </t>
  </si>
  <si>
    <t xml:space="preserve">Investment </t>
  </si>
  <si>
    <t xml:space="preserve">Free cashflow </t>
  </si>
  <si>
    <t>Assets</t>
  </si>
  <si>
    <t>Rp bn</t>
  </si>
  <si>
    <t>Cash</t>
  </si>
  <si>
    <t>Share price</t>
  </si>
  <si>
    <t>RALS</t>
  </si>
  <si>
    <t xml:space="preserve">Previous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</si>
</sst>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638238</xdr:colOff>
      <xdr:row>2</xdr:row>
      <xdr:rowOff>175393</xdr:rowOff>
    </xdr:from>
    <xdr:to>
      <xdr:col>13</xdr:col>
      <xdr:colOff>511772</xdr:colOff>
      <xdr:row>47</xdr:row>
      <xdr:rowOff>220336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121338" y="997083"/>
          <a:ext cx="8585735" cy="1153272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3281" style="1" customWidth="1"/>
    <col min="2" max="2" width="14.7656" style="1" customWidth="1"/>
    <col min="3" max="6" width="8.125" style="1" customWidth="1"/>
    <col min="7" max="16384" width="16.3516" style="1" customWidth="1"/>
  </cols>
  <sheetData>
    <row r="1" ht="37.0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s="4"/>
      <c r="D3" s="4"/>
      <c r="E3" s="5"/>
      <c r="F3" t="s" s="6">
        <v>2</v>
      </c>
    </row>
    <row r="4" ht="20.3" customHeight="1">
      <c r="B4" t="s" s="7">
        <v>3</v>
      </c>
      <c r="C4" s="8">
        <f>AVERAGE('Sales'!G24:G27)</f>
        <v>1.08979170883047</v>
      </c>
      <c r="D4" s="9"/>
      <c r="E4" s="9"/>
      <c r="F4" s="10">
        <f>AVERAGE(C5:F5)</f>
        <v>0.1575</v>
      </c>
    </row>
    <row r="5" ht="20.1" customHeight="1">
      <c r="B5" t="s" s="11">
        <v>4</v>
      </c>
      <c r="C5" s="12">
        <v>-0.15</v>
      </c>
      <c r="D5" s="13">
        <v>0.5</v>
      </c>
      <c r="E5" s="13">
        <v>0.03</v>
      </c>
      <c r="F5" s="13">
        <v>0.25</v>
      </c>
    </row>
    <row r="6" ht="20.1" customHeight="1">
      <c r="B6" t="s" s="11">
        <v>5</v>
      </c>
      <c r="C6" s="14">
        <f>'Sales'!C27*(1+C5)</f>
        <v>863.175</v>
      </c>
      <c r="D6" s="15">
        <f>C6*(1+D5)</f>
        <v>1294.7625</v>
      </c>
      <c r="E6" s="15">
        <f>D6*(1+E5)</f>
        <v>1333.605375</v>
      </c>
      <c r="F6" s="15">
        <f>E6*(1+F5)</f>
        <v>1667.00671875</v>
      </c>
    </row>
    <row r="7" ht="20.1" customHeight="1">
      <c r="B7" t="s" s="11">
        <v>6</v>
      </c>
      <c r="C7" s="16">
        <f>AVERAGE('Sales'!I27)</f>
        <v>-0.770613373610884</v>
      </c>
      <c r="D7" s="17">
        <f>C7</f>
        <v>-0.770613373610884</v>
      </c>
      <c r="E7" s="17">
        <f>D7</f>
        <v>-0.770613373610884</v>
      </c>
      <c r="F7" s="17">
        <f>E7</f>
        <v>-0.770613373610884</v>
      </c>
    </row>
    <row r="8" ht="20.1" customHeight="1">
      <c r="B8" t="s" s="11">
        <v>7</v>
      </c>
      <c r="C8" s="18">
        <f>C7*C6</f>
        <v>-665.174198766575</v>
      </c>
      <c r="D8" s="19">
        <f>D7*D6</f>
        <v>-997.761298149862</v>
      </c>
      <c r="E8" s="19">
        <f>E7*E6</f>
        <v>-1027.694137094360</v>
      </c>
      <c r="F8" s="19">
        <f>F7*F6</f>
        <v>-1284.617671367950</v>
      </c>
    </row>
    <row r="9" ht="20.1" customHeight="1">
      <c r="B9" t="s" s="11">
        <v>8</v>
      </c>
      <c r="C9" s="20">
        <f>C6+C8</f>
        <v>198.000801233425</v>
      </c>
      <c r="D9" s="21">
        <f>D6+D8</f>
        <v>297.001201850138</v>
      </c>
      <c r="E9" s="21">
        <f>E6+E8</f>
        <v>305.911237905640</v>
      </c>
      <c r="F9" s="21">
        <f>F6+F8</f>
        <v>382.389047382050</v>
      </c>
    </row>
    <row r="10" ht="20.05" customHeight="1">
      <c r="B10" t="s" s="11">
        <v>9</v>
      </c>
      <c r="C10" s="20">
        <f>AVERAGE('Cashflow'!E24:E27)</f>
        <v>0.5</v>
      </c>
      <c r="D10" s="21">
        <f>C10</f>
        <v>0.5</v>
      </c>
      <c r="E10" s="21">
        <f>D10</f>
        <v>0.5</v>
      </c>
      <c r="F10" s="21">
        <f>E10</f>
        <v>0.5</v>
      </c>
    </row>
    <row r="11" ht="20.1" customHeight="1">
      <c r="B11" t="s" s="11">
        <v>10</v>
      </c>
      <c r="C11" s="20">
        <f>SUM('Cashflow'!F26:F27)/2</f>
        <v>-2.676</v>
      </c>
      <c r="D11" s="21">
        <f>C11</f>
        <v>-2.676</v>
      </c>
      <c r="E11" s="21">
        <f>D11</f>
        <v>-2.676</v>
      </c>
      <c r="F11" s="21">
        <f>E11</f>
        <v>-2.676</v>
      </c>
    </row>
    <row r="12" ht="20.1" customHeight="1">
      <c r="B12" t="s" s="11">
        <v>11</v>
      </c>
      <c r="C12" s="20">
        <f>C13+C15+C14</f>
        <v>-119.700400616713</v>
      </c>
      <c r="D12" s="21">
        <f>D13+D15+D14</f>
        <v>-165.478100925069</v>
      </c>
      <c r="E12" s="21">
        <f>E13+E15+E14</f>
        <v>-166.396743952820</v>
      </c>
      <c r="F12" s="21">
        <f>F13+F15+F14</f>
        <v>-201.276092441025</v>
      </c>
    </row>
    <row r="13" ht="20.1" customHeight="1">
      <c r="B13" t="s" s="11">
        <v>12</v>
      </c>
      <c r="C13" s="20">
        <f>-('Balance sheet'!G31)/20</f>
        <v>-74.45</v>
      </c>
      <c r="D13" s="21">
        <f>-C27/20</f>
        <v>-70.72750000000001</v>
      </c>
      <c r="E13" s="21">
        <f>-D27/20</f>
        <v>-67.191125</v>
      </c>
      <c r="F13" s="21">
        <f>-E27/20</f>
        <v>-63.83156875</v>
      </c>
    </row>
    <row r="14" ht="20.1" customHeight="1">
      <c r="B14" t="s" s="11">
        <v>13</v>
      </c>
      <c r="C14" s="20">
        <f>-MIN(0,C16)</f>
        <v>0</v>
      </c>
      <c r="D14" s="21">
        <f>-MIN(C28,D16)</f>
        <v>0</v>
      </c>
      <c r="E14" s="21">
        <f>-MIN(D28,E16)</f>
        <v>0</v>
      </c>
      <c r="F14" s="21">
        <f>-MIN(E28,F16)</f>
        <v>0</v>
      </c>
    </row>
    <row r="15" ht="20.1" customHeight="1">
      <c r="B15" t="s" s="11">
        <v>14</v>
      </c>
      <c r="C15" s="20">
        <f>IF(C22&gt;0,-C22*0.5,0)</f>
        <v>-45.2504006167125</v>
      </c>
      <c r="D15" s="21">
        <f>IF(D22&gt;0,-D22*0.5,0)</f>
        <v>-94.75060092506899</v>
      </c>
      <c r="E15" s="21">
        <f>IF(E22&gt;0,-E22*0.5,0)</f>
        <v>-99.205618952820</v>
      </c>
      <c r="F15" s="21">
        <f>IF(F22&gt;0,-F22*0.5,0)</f>
        <v>-137.444523691025</v>
      </c>
    </row>
    <row r="16" ht="20.05" customHeight="1">
      <c r="B16" t="s" s="11">
        <v>15</v>
      </c>
      <c r="C16" s="20">
        <f>C9+C10+C13+C15</f>
        <v>78.80040061671249</v>
      </c>
      <c r="D16" s="21">
        <f>D9+D10+D13+D15</f>
        <v>132.023100925069</v>
      </c>
      <c r="E16" s="21">
        <f>E9+E10+E13+E15</f>
        <v>140.014493952820</v>
      </c>
      <c r="F16" s="21">
        <f>F9+F10+F13+F15</f>
        <v>181.612954941025</v>
      </c>
    </row>
    <row r="17" ht="20.1" customHeight="1">
      <c r="B17" t="s" s="11">
        <v>16</v>
      </c>
      <c r="C17" s="20">
        <f>'Balance sheet'!C31</f>
        <v>1581.6</v>
      </c>
      <c r="D17" s="21">
        <f>C19</f>
        <v>1660.400400616710</v>
      </c>
      <c r="E17" s="21">
        <f>D19</f>
        <v>1792.423501541780</v>
      </c>
      <c r="F17" s="21">
        <f>E19</f>
        <v>1932.4379954946</v>
      </c>
    </row>
    <row r="18" ht="20.1" customHeight="1">
      <c r="B18" t="s" s="11">
        <v>17</v>
      </c>
      <c r="C18" s="20">
        <f>C9+C10+C12</f>
        <v>78.800400616712</v>
      </c>
      <c r="D18" s="21">
        <f>D9+D10+D12</f>
        <v>132.023100925069</v>
      </c>
      <c r="E18" s="21">
        <f>E9+E10+E12</f>
        <v>140.014493952820</v>
      </c>
      <c r="F18" s="21">
        <f>F9+F10+F12</f>
        <v>181.612954941025</v>
      </c>
    </row>
    <row r="19" ht="20.1" customHeight="1">
      <c r="B19" t="s" s="11">
        <v>18</v>
      </c>
      <c r="C19" s="20">
        <f>C17+C18</f>
        <v>1660.400400616710</v>
      </c>
      <c r="D19" s="21">
        <f>D17+D18</f>
        <v>1792.423501541780</v>
      </c>
      <c r="E19" s="21">
        <f>E17+E18</f>
        <v>1932.4379954946</v>
      </c>
      <c r="F19" s="21">
        <f>F17+F18</f>
        <v>2114.050950435630</v>
      </c>
    </row>
    <row r="20" ht="20.1" customHeight="1">
      <c r="B20" t="s" s="22">
        <v>19</v>
      </c>
      <c r="C20" s="23"/>
      <c r="D20" s="24"/>
      <c r="E20" s="24"/>
      <c r="F20" s="25"/>
    </row>
    <row r="21" ht="20.1" customHeight="1">
      <c r="B21" t="s" s="11">
        <v>20</v>
      </c>
      <c r="C21" s="20">
        <f>-AVERAGE('Sales'!E24:E27)</f>
        <v>-107.5</v>
      </c>
      <c r="D21" s="21">
        <f>C21</f>
        <v>-107.5</v>
      </c>
      <c r="E21" s="21">
        <f>D21</f>
        <v>-107.5</v>
      </c>
      <c r="F21" s="21">
        <f>E21</f>
        <v>-107.5</v>
      </c>
    </row>
    <row r="22" ht="20.1" customHeight="1">
      <c r="B22" t="s" s="11">
        <v>21</v>
      </c>
      <c r="C22" s="20">
        <f>C6+C8+C21</f>
        <v>90.50080123342499</v>
      </c>
      <c r="D22" s="21">
        <f>D6+D8+D21</f>
        <v>189.501201850138</v>
      </c>
      <c r="E22" s="21">
        <f>E6+E8+E21</f>
        <v>198.411237905640</v>
      </c>
      <c r="F22" s="21">
        <f>F6+F8+F21</f>
        <v>274.889047382050</v>
      </c>
    </row>
    <row r="23" ht="20.1" customHeight="1">
      <c r="B23" t="s" s="22">
        <v>22</v>
      </c>
      <c r="C23" s="23"/>
      <c r="D23" s="24"/>
      <c r="E23" s="24"/>
      <c r="F23" s="25"/>
    </row>
    <row r="24" ht="20.1" customHeight="1">
      <c r="B24" t="s" s="11">
        <v>23</v>
      </c>
      <c r="C24" s="20">
        <f>'Balance sheet'!E31+'Balance sheet'!F31-C10</f>
        <v>6905.4</v>
      </c>
      <c r="D24" s="21">
        <f>C24-D10</f>
        <v>6904.9</v>
      </c>
      <c r="E24" s="21">
        <f>D24-E10</f>
        <v>6904.4</v>
      </c>
      <c r="F24" s="21">
        <f>E24-F10</f>
        <v>6903.9</v>
      </c>
    </row>
    <row r="25" ht="20.1" customHeight="1">
      <c r="B25" t="s" s="11">
        <v>24</v>
      </c>
      <c r="C25" s="20">
        <f>'Balance sheet'!F31-C21</f>
        <v>3510</v>
      </c>
      <c r="D25" s="21">
        <f>C25-D21</f>
        <v>3617.5</v>
      </c>
      <c r="E25" s="21">
        <f>D25-E21</f>
        <v>3725</v>
      </c>
      <c r="F25" s="21">
        <f>E25-F21</f>
        <v>3832.5</v>
      </c>
    </row>
    <row r="26" ht="20.1" customHeight="1">
      <c r="B26" t="s" s="11">
        <v>25</v>
      </c>
      <c r="C26" s="20">
        <f>C24-C25</f>
        <v>3395.4</v>
      </c>
      <c r="D26" s="21">
        <f>D24-D25</f>
        <v>3287.4</v>
      </c>
      <c r="E26" s="21">
        <f>E24-E25</f>
        <v>3179.4</v>
      </c>
      <c r="F26" s="21">
        <f>F24-F25</f>
        <v>3071.4</v>
      </c>
    </row>
    <row r="27" ht="20.1" customHeight="1">
      <c r="B27" t="s" s="11">
        <v>12</v>
      </c>
      <c r="C27" s="20">
        <f>'Balance sheet'!G31+C13</f>
        <v>1414.55</v>
      </c>
      <c r="D27" s="21">
        <f>C27+D13</f>
        <v>1343.8225</v>
      </c>
      <c r="E27" s="21">
        <f>D27+E13</f>
        <v>1276.631375</v>
      </c>
      <c r="F27" s="21">
        <f>E27+F13</f>
        <v>1212.79980625</v>
      </c>
    </row>
    <row r="28" ht="20.1" customHeight="1">
      <c r="B28" t="s" s="11">
        <v>13</v>
      </c>
      <c r="C28" s="20">
        <f>C14</f>
        <v>0</v>
      </c>
      <c r="D28" s="21">
        <f>C28+D14</f>
        <v>0</v>
      </c>
      <c r="E28" s="21">
        <f>D28+E14</f>
        <v>0</v>
      </c>
      <c r="F28" s="21">
        <f>E28+F14</f>
        <v>0</v>
      </c>
    </row>
    <row r="29" ht="20.1" customHeight="1">
      <c r="B29" t="s" s="11">
        <v>26</v>
      </c>
      <c r="C29" s="20">
        <f>'Balance sheet'!H31+C22+C15</f>
        <v>3641.250400616710</v>
      </c>
      <c r="D29" s="21">
        <f>C29+D22+D15</f>
        <v>3736.001001541780</v>
      </c>
      <c r="E29" s="21">
        <f>D29+E22+E15</f>
        <v>3835.2066204946</v>
      </c>
      <c r="F29" s="21">
        <f>E29+F22+F15</f>
        <v>3972.651144185630</v>
      </c>
    </row>
    <row r="30" ht="20.1" customHeight="1">
      <c r="B30" t="s" s="11">
        <v>27</v>
      </c>
      <c r="C30" s="20">
        <f>C27+C28+C29-C19-C26</f>
        <v>0</v>
      </c>
      <c r="D30" s="21">
        <f>D27+D28+D29-D19-D26</f>
        <v>0</v>
      </c>
      <c r="E30" s="21">
        <f>E27+E28+E29-E19-E26</f>
        <v>0</v>
      </c>
      <c r="F30" s="21">
        <f>F27+F28+F29-F19-F26</f>
        <v>0</v>
      </c>
    </row>
    <row r="31" ht="20.1" customHeight="1">
      <c r="B31" t="s" s="11">
        <v>28</v>
      </c>
      <c r="C31" s="20">
        <f>C19-C27-C28</f>
        <v>245.850400616710</v>
      </c>
      <c r="D31" s="21">
        <f>D19-D27-D28</f>
        <v>448.601001541780</v>
      </c>
      <c r="E31" s="21">
        <f>E19-E27-E28</f>
        <v>655.8066204946</v>
      </c>
      <c r="F31" s="21">
        <f>F19-F27-F28</f>
        <v>901.251144185630</v>
      </c>
    </row>
    <row r="32" ht="20.1" customHeight="1">
      <c r="B32" t="s" s="22">
        <v>29</v>
      </c>
      <c r="C32" s="20"/>
      <c r="D32" s="21"/>
      <c r="E32" s="21"/>
      <c r="F32" s="21"/>
    </row>
    <row r="33" ht="20.1" customHeight="1">
      <c r="B33" t="s" s="11">
        <v>30</v>
      </c>
      <c r="C33" s="20">
        <f>'Cashflow'!M27-(C12-C11)</f>
        <v>2372.844400616710</v>
      </c>
      <c r="D33" s="21">
        <f>C33-(D12-D11)</f>
        <v>2535.646501541780</v>
      </c>
      <c r="E33" s="21">
        <f>D33-(E12-E11)</f>
        <v>2699.3672454946</v>
      </c>
      <c r="F33" s="21">
        <f>E33-(F12-F11)</f>
        <v>2897.967337935630</v>
      </c>
    </row>
    <row r="34" ht="20.1" customHeight="1">
      <c r="B34" t="s" s="11">
        <v>31</v>
      </c>
      <c r="C34" s="20"/>
      <c r="D34" s="21"/>
      <c r="E34" s="21"/>
      <c r="F34" s="21">
        <v>5286520160256</v>
      </c>
    </row>
    <row r="35" ht="20.1" customHeight="1">
      <c r="B35" t="s" s="11">
        <v>31</v>
      </c>
      <c r="C35" s="20"/>
      <c r="D35" s="21"/>
      <c r="E35" s="21"/>
      <c r="F35" s="21">
        <f>F34/1000000000</f>
        <v>5286.520160256</v>
      </c>
    </row>
    <row r="36" ht="20.1" customHeight="1">
      <c r="B36" t="s" s="11">
        <v>32</v>
      </c>
      <c r="C36" s="20"/>
      <c r="D36" s="21"/>
      <c r="E36" s="21"/>
      <c r="F36" s="26">
        <f>F35/(F19+F26)</f>
        <v>1.019490920035</v>
      </c>
    </row>
    <row r="37" ht="20.1" customHeight="1">
      <c r="B37" t="s" s="11">
        <v>33</v>
      </c>
      <c r="C37" s="20"/>
      <c r="D37" s="21"/>
      <c r="E37" s="21"/>
      <c r="F37" s="17">
        <f>-(C15+D15+E15+F15)/F35</f>
        <v>0.0712474619915924</v>
      </c>
    </row>
    <row r="38" ht="20.1" customHeight="1">
      <c r="B38" t="s" s="11">
        <v>34</v>
      </c>
      <c r="C38" s="20"/>
      <c r="D38" s="21"/>
      <c r="E38" s="21"/>
      <c r="F38" s="21">
        <f>SUM(C9:F11)</f>
        <v>1174.598288371250</v>
      </c>
    </row>
    <row r="39" ht="20.1" customHeight="1">
      <c r="B39" t="s" s="11">
        <v>35</v>
      </c>
      <c r="C39" s="20"/>
      <c r="D39" s="21"/>
      <c r="E39" s="21"/>
      <c r="F39" s="21">
        <f>'Balance sheet'!E31/F38</f>
        <v>2.98263673179532</v>
      </c>
    </row>
    <row r="40" ht="20.1" customHeight="1">
      <c r="B40" t="s" s="11">
        <v>29</v>
      </c>
      <c r="C40" s="20"/>
      <c r="D40" s="21"/>
      <c r="E40" s="21"/>
      <c r="F40" s="21">
        <f>F35/F38</f>
        <v>4.50070480486271</v>
      </c>
    </row>
    <row r="41" ht="20.1" customHeight="1">
      <c r="B41" t="s" s="11">
        <v>36</v>
      </c>
      <c r="C41" s="20"/>
      <c r="D41" s="21"/>
      <c r="E41" s="21"/>
      <c r="F41" s="21">
        <v>9</v>
      </c>
    </row>
    <row r="42" ht="20.1" customHeight="1">
      <c r="B42" t="s" s="11">
        <v>37</v>
      </c>
      <c r="C42" s="20"/>
      <c r="D42" s="21"/>
      <c r="E42" s="21"/>
      <c r="F42" s="21">
        <f>F38*F41</f>
        <v>10571.3845953413</v>
      </c>
    </row>
    <row r="43" ht="20.1" customHeight="1">
      <c r="B43" t="s" s="11">
        <v>38</v>
      </c>
      <c r="C43" s="20"/>
      <c r="D43" s="21"/>
      <c r="E43" s="21"/>
      <c r="F43" s="21">
        <f>F35/F45</f>
        <v>7.09600021510872</v>
      </c>
    </row>
    <row r="44" ht="20.1" customHeight="1">
      <c r="B44" t="s" s="11">
        <v>39</v>
      </c>
      <c r="C44" s="20"/>
      <c r="D44" s="21"/>
      <c r="E44" s="21"/>
      <c r="F44" s="21">
        <f>F42/F43</f>
        <v>1489.766667824060</v>
      </c>
    </row>
    <row r="45" ht="20.1" customHeight="1">
      <c r="B45" t="s" s="11">
        <v>40</v>
      </c>
      <c r="C45" s="20"/>
      <c r="D45" s="21"/>
      <c r="E45" s="21"/>
      <c r="F45" s="21">
        <v>745</v>
      </c>
    </row>
    <row r="46" ht="20.1" customHeight="1">
      <c r="B46" t="s" s="11">
        <v>41</v>
      </c>
      <c r="C46" s="20"/>
      <c r="D46" s="21"/>
      <c r="E46" s="21"/>
      <c r="F46" s="17">
        <f>F44/F45-1</f>
        <v>0.999686802448403</v>
      </c>
    </row>
    <row r="47" ht="20.1" customHeight="1">
      <c r="B47" t="s" s="11">
        <v>42</v>
      </c>
      <c r="C47" s="20"/>
      <c r="D47" s="21"/>
      <c r="E47" s="21"/>
      <c r="F47" s="17">
        <f>'Sales'!C27/'Sales'!C23-1</f>
        <v>1.05275924802911</v>
      </c>
    </row>
    <row r="48" ht="20.1" customHeight="1">
      <c r="B48" t="s" s="11">
        <v>43</v>
      </c>
      <c r="C48" s="20"/>
      <c r="D48" s="21"/>
      <c r="E48" s="21"/>
      <c r="F48" s="17">
        <f>('Sales'!D24+'Sales'!D27+'Sales'!D25+'Sales'!D26)/('Sales'!C24+'Sales'!C25+'Sales'!C27+'Sales'!C26)-1</f>
        <v>0.123499807173159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67188" style="27" customWidth="1"/>
    <col min="2" max="2" width="7.67969" style="27" customWidth="1"/>
    <col min="3" max="4" width="9.76562" style="27" customWidth="1"/>
    <col min="5" max="5" width="9.57812" style="27" customWidth="1"/>
    <col min="6" max="6" width="6.40625" style="27" customWidth="1"/>
    <col min="7" max="11" width="9.76562" style="27" customWidth="1"/>
    <col min="12" max="16384" width="16.3516" style="27" customWidth="1"/>
  </cols>
  <sheetData>
    <row r="1" ht="7.8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6">
        <v>1</v>
      </c>
      <c r="C3" t="s" s="6">
        <v>44</v>
      </c>
      <c r="D3" t="s" s="6">
        <v>36</v>
      </c>
      <c r="E3" t="s" s="6">
        <v>20</v>
      </c>
      <c r="F3" t="s" s="6">
        <v>45</v>
      </c>
      <c r="G3" t="s" s="6">
        <v>46</v>
      </c>
      <c r="H3" t="s" s="6">
        <v>47</v>
      </c>
      <c r="I3" t="s" s="6">
        <v>47</v>
      </c>
      <c r="J3" t="s" s="6">
        <v>36</v>
      </c>
      <c r="K3" t="s" s="6">
        <v>48</v>
      </c>
    </row>
    <row r="4" ht="20.25" customHeight="1">
      <c r="B4" s="28">
        <v>2016</v>
      </c>
      <c r="C4" s="29">
        <v>957.5700000000001</v>
      </c>
      <c r="D4" s="9"/>
      <c r="E4" s="30">
        <v>116.9</v>
      </c>
      <c r="F4" s="30">
        <v>8.4</v>
      </c>
      <c r="G4" s="31"/>
      <c r="H4" s="31">
        <f>(E4+F4-C4)/C4</f>
        <v>-0.869147947408545</v>
      </c>
      <c r="I4" s="31"/>
      <c r="J4" s="31"/>
      <c r="K4" s="31">
        <f>('Cashflow'!D4-'Cashflow'!C4)/'Cashflow'!C4</f>
        <v>-1.18175629680054</v>
      </c>
    </row>
    <row r="5" ht="20.05" customHeight="1">
      <c r="B5" s="32"/>
      <c r="C5" s="14">
        <v>1807.98</v>
      </c>
      <c r="D5" s="25"/>
      <c r="E5" s="21">
        <v>21</v>
      </c>
      <c r="F5" s="21">
        <v>245.6</v>
      </c>
      <c r="G5" s="17">
        <f>C5/C4-1</f>
        <v>0.888091732197124</v>
      </c>
      <c r="H5" s="17">
        <f>(E5+F5-C5)/C5</f>
        <v>-0.852542616621865</v>
      </c>
      <c r="I5" s="17"/>
      <c r="J5" s="17"/>
      <c r="K5" s="17">
        <f>('Cashflow'!D5-'Cashflow'!C5)/'Cashflow'!C5</f>
        <v>-0.63823230612936</v>
      </c>
    </row>
    <row r="6" ht="20.05" customHeight="1">
      <c r="B6" s="32"/>
      <c r="C6" s="14">
        <v>1187.03</v>
      </c>
      <c r="D6" s="25"/>
      <c r="E6" s="21">
        <v>76</v>
      </c>
      <c r="F6" s="21">
        <v>107.65</v>
      </c>
      <c r="G6" s="17">
        <f>C6/C5-1</f>
        <v>-0.343449595681368</v>
      </c>
      <c r="H6" s="17">
        <f>(E6+F6-C6)/C6</f>
        <v>-0.845286134301576</v>
      </c>
      <c r="I6" s="17"/>
      <c r="J6" s="17"/>
      <c r="K6" s="17">
        <f>('Cashflow'!D6-'Cashflow'!C6)/'Cashflow'!C6</f>
        <v>-1.20709990627534</v>
      </c>
    </row>
    <row r="7" ht="20.05" customHeight="1">
      <c r="B7" s="32"/>
      <c r="C7" s="14">
        <v>1140.17</v>
      </c>
      <c r="D7" s="25"/>
      <c r="E7" s="21">
        <v>108.1</v>
      </c>
      <c r="F7" s="21">
        <v>46.75</v>
      </c>
      <c r="G7" s="17">
        <f>C7/C6-1</f>
        <v>-0.0394766770848252</v>
      </c>
      <c r="H7" s="17">
        <f>(E7+F7-C7)/C7</f>
        <v>-0.864186919494461</v>
      </c>
      <c r="I7" s="17"/>
      <c r="J7" s="17"/>
      <c r="K7" s="17">
        <f>('Cashflow'!D7-'Cashflow'!C7)/'Cashflow'!C7</f>
        <v>-0.815980959570542</v>
      </c>
    </row>
    <row r="8" ht="20.05" customHeight="1">
      <c r="B8" s="33">
        <v>2017</v>
      </c>
      <c r="C8" s="14">
        <v>934.23</v>
      </c>
      <c r="D8" s="25"/>
      <c r="E8" s="21">
        <v>80.48999999999999</v>
      </c>
      <c r="F8" s="21">
        <v>2.87</v>
      </c>
      <c r="G8" s="17">
        <f>C8/C7-1</f>
        <v>-0.180622187919345</v>
      </c>
      <c r="H8" s="17">
        <f>(E8+F8-C8)/C8</f>
        <v>-0.910771437440459</v>
      </c>
      <c r="I8" s="17">
        <f>AVERAGE(H5:H8)</f>
        <v>-0.86819677696459</v>
      </c>
      <c r="J8" s="17"/>
      <c r="K8" s="17">
        <f>('Cashflow'!D8-'Cashflow'!C8)/'Cashflow'!C8</f>
        <v>-1.16094799210007</v>
      </c>
    </row>
    <row r="9" ht="20.05" customHeight="1">
      <c r="B9" s="32"/>
      <c r="C9" s="14">
        <v>2038.25</v>
      </c>
      <c r="D9" s="25"/>
      <c r="E9" s="21">
        <v>78.31</v>
      </c>
      <c r="F9" s="21">
        <v>365.83</v>
      </c>
      <c r="G9" s="17">
        <f>C9/C8-1</f>
        <v>1.1817432538026</v>
      </c>
      <c r="H9" s="17">
        <f>(E9+F9-C9)/C9</f>
        <v>-0.782097387464737</v>
      </c>
      <c r="I9" s="17">
        <f>AVERAGE(H6:H9)</f>
        <v>-0.850585469675308</v>
      </c>
      <c r="J9" s="17"/>
      <c r="K9" s="17">
        <f>('Cashflow'!D9-'Cashflow'!C9)/'Cashflow'!C9</f>
        <v>-0.523728892505555</v>
      </c>
    </row>
    <row r="10" ht="20.05" customHeight="1">
      <c r="B10" s="32"/>
      <c r="C10" s="14">
        <v>786.3200000000001</v>
      </c>
      <c r="D10" s="25"/>
      <c r="E10" s="21">
        <v>73.78</v>
      </c>
      <c r="F10" s="21">
        <v>-0.91</v>
      </c>
      <c r="G10" s="17">
        <f>C10/C9-1</f>
        <v>-0.614218079234638</v>
      </c>
      <c r="H10" s="17">
        <f>(E10+F10-C10)/C10</f>
        <v>-0.907327805473599</v>
      </c>
      <c r="I10" s="17">
        <f>AVERAGE(H7:H10)</f>
        <v>-0.866095887468314</v>
      </c>
      <c r="J10" s="17"/>
      <c r="K10" s="17">
        <f>('Cashflow'!D10-'Cashflow'!C10)/'Cashflow'!C10</f>
        <v>-1.86101758476476</v>
      </c>
    </row>
    <row r="11" ht="20.05" customHeight="1">
      <c r="B11" s="32"/>
      <c r="C11" s="14">
        <v>1027.7</v>
      </c>
      <c r="D11" s="25"/>
      <c r="E11" s="21">
        <v>74.22</v>
      </c>
      <c r="F11" s="21">
        <v>38.79</v>
      </c>
      <c r="G11" s="17">
        <f>C11/C10-1</f>
        <v>0.306974259843321</v>
      </c>
      <c r="H11" s="17">
        <f>(E11+F11-C11)/C11</f>
        <v>-0.890036002724531</v>
      </c>
      <c r="I11" s="17">
        <f>AVERAGE(H8:H11)</f>
        <v>-0.8725581582758321</v>
      </c>
      <c r="J11" s="17"/>
      <c r="K11" s="17">
        <f>('Cashflow'!D11-'Cashflow'!C11)/'Cashflow'!C11</f>
        <v>-0.764547947075621</v>
      </c>
    </row>
    <row r="12" ht="20.05" customHeight="1">
      <c r="B12" s="33">
        <v>2018</v>
      </c>
      <c r="C12" s="14">
        <v>893.4</v>
      </c>
      <c r="D12" s="25"/>
      <c r="E12" s="21">
        <v>75.59999999999999</v>
      </c>
      <c r="F12" s="21">
        <v>14.67</v>
      </c>
      <c r="G12" s="17">
        <f>C12/C11-1</f>
        <v>-0.130680159579644</v>
      </c>
      <c r="H12" s="17">
        <f>(E12+F12-C12)/C12</f>
        <v>-0.898959032907992</v>
      </c>
      <c r="I12" s="17">
        <f>AVERAGE(H9:H12)</f>
        <v>-0.869605057142715</v>
      </c>
      <c r="J12" s="17"/>
      <c r="K12" s="17">
        <f>('Cashflow'!D12-'Cashflow'!C12)/'Cashflow'!C12</f>
        <v>-1.14706666666667</v>
      </c>
    </row>
    <row r="13" ht="20.05" customHeight="1">
      <c r="B13" s="32"/>
      <c r="C13" s="14">
        <v>2018.17</v>
      </c>
      <c r="D13" s="25"/>
      <c r="E13" s="21">
        <v>91.7</v>
      </c>
      <c r="F13" s="21">
        <v>471.33</v>
      </c>
      <c r="G13" s="17">
        <f>C13/C12-1</f>
        <v>1.25897694201925</v>
      </c>
      <c r="H13" s="17">
        <f>(E13+F13-C13)/C13</f>
        <v>-0.721019537501796</v>
      </c>
      <c r="I13" s="17">
        <f>AVERAGE(H10:H13)</f>
        <v>-0.8543355946519799</v>
      </c>
      <c r="J13" s="17"/>
      <c r="K13" s="17">
        <f>('Cashflow'!D13-'Cashflow'!C13)/'Cashflow'!C13</f>
        <v>-0.523459551579059</v>
      </c>
    </row>
    <row r="14" ht="20.05" customHeight="1">
      <c r="B14" s="32"/>
      <c r="C14" s="14">
        <v>826.4299999999999</v>
      </c>
      <c r="D14" s="25"/>
      <c r="E14" s="21">
        <v>75.3</v>
      </c>
      <c r="F14" s="21">
        <v>41.27</v>
      </c>
      <c r="G14" s="17">
        <f>C14/C13-1</f>
        <v>-0.590505259715485</v>
      </c>
      <c r="H14" s="17">
        <f>(E14+F14-C14)/C14</f>
        <v>-0.858947521266169</v>
      </c>
      <c r="I14" s="17">
        <f>AVERAGE(H11:H14)</f>
        <v>-0.842240523600122</v>
      </c>
      <c r="J14" s="17"/>
      <c r="K14" s="17">
        <f>('Cashflow'!D14-'Cashflow'!C14)/'Cashflow'!C14</f>
        <v>-1.7629840546697</v>
      </c>
    </row>
    <row r="15" ht="20.05" customHeight="1">
      <c r="B15" s="32"/>
      <c r="C15" s="14">
        <v>1067.1</v>
      </c>
      <c r="D15" s="25"/>
      <c r="E15" s="21">
        <v>62.1</v>
      </c>
      <c r="F15" s="21">
        <v>59.83</v>
      </c>
      <c r="G15" s="17">
        <f>C15/C14-1</f>
        <v>0.291216436963808</v>
      </c>
      <c r="H15" s="17">
        <f>(E15+F15-C15)/C15</f>
        <v>-0.885737044325743</v>
      </c>
      <c r="I15" s="17">
        <f>AVERAGE(H12:H15)</f>
        <v>-0.841165784000425</v>
      </c>
      <c r="J15" s="17"/>
      <c r="K15" s="17">
        <f>('Cashflow'!D15-'Cashflow'!C15)/'Cashflow'!C15</f>
        <v>-0.844794175900648</v>
      </c>
    </row>
    <row r="16" ht="20.05" customHeight="1">
      <c r="B16" s="33">
        <v>2019</v>
      </c>
      <c r="C16" s="14">
        <v>876.7</v>
      </c>
      <c r="D16" s="25"/>
      <c r="E16" s="21">
        <v>75.5</v>
      </c>
      <c r="F16" s="21">
        <v>77.5</v>
      </c>
      <c r="G16" s="17">
        <f>C16/C15-1</f>
        <v>-0.17842751382251</v>
      </c>
      <c r="H16" s="17">
        <f>(E16+F16-C16)/C16</f>
        <v>-0.825481920839512</v>
      </c>
      <c r="I16" s="17">
        <f>AVERAGE(H13:H16)</f>
        <v>-0.822796505983305</v>
      </c>
      <c r="J16" s="17"/>
      <c r="K16" s="17">
        <f>('Cashflow'!D16-'Cashflow'!C16)/'Cashflow'!C16</f>
        <v>-1.17107299024554</v>
      </c>
    </row>
    <row r="17" ht="20.05" customHeight="1">
      <c r="B17" s="32"/>
      <c r="C17" s="14">
        <v>1985</v>
      </c>
      <c r="D17" s="25"/>
      <c r="E17" s="21">
        <v>70.2</v>
      </c>
      <c r="F17" s="21">
        <v>512.3</v>
      </c>
      <c r="G17" s="17">
        <f>C17/C16-1</f>
        <v>1.26417246492529</v>
      </c>
      <c r="H17" s="17">
        <f>(E17+F17-C17)/C17</f>
        <v>-0.706549118387909</v>
      </c>
      <c r="I17" s="17">
        <f>AVERAGE(H14:H17)</f>
        <v>-0.8191789012048331</v>
      </c>
      <c r="J17" s="17"/>
      <c r="K17" s="17">
        <f>('Cashflow'!D17-'Cashflow'!C17)/'Cashflow'!C17</f>
        <v>-0.495721060858967</v>
      </c>
    </row>
    <row r="18" ht="20.05" customHeight="1">
      <c r="B18" s="32"/>
      <c r="C18" s="14">
        <v>756.3</v>
      </c>
      <c r="D18" s="25"/>
      <c r="E18" s="21">
        <v>70</v>
      </c>
      <c r="F18" s="21">
        <v>22.6</v>
      </c>
      <c r="G18" s="17">
        <f>C18/C17-1</f>
        <v>-0.618992443324937</v>
      </c>
      <c r="H18" s="17">
        <f>(E18+F18-C18)/C18</f>
        <v>-0.8775618140949361</v>
      </c>
      <c r="I18" s="17">
        <f>AVERAGE(H15:H18)</f>
        <v>-0.823832474412025</v>
      </c>
      <c r="J18" s="17"/>
      <c r="K18" s="17">
        <f>('Cashflow'!D18-'Cashflow'!C18)/'Cashflow'!C18</f>
        <v>-1.52124373670121</v>
      </c>
    </row>
    <row r="19" ht="20.05" customHeight="1">
      <c r="B19" s="32"/>
      <c r="C19" s="14">
        <v>961</v>
      </c>
      <c r="D19" s="25"/>
      <c r="E19" s="21">
        <v>86.09999999999999</v>
      </c>
      <c r="F19" s="21">
        <v>35.5</v>
      </c>
      <c r="G19" s="17">
        <f>C19/C18-1</f>
        <v>0.270659791088193</v>
      </c>
      <c r="H19" s="17">
        <f>(E19+F19-C19)/C19</f>
        <v>-0.873465140478668</v>
      </c>
      <c r="I19" s="17">
        <f>AVERAGE(H16:H19)</f>
        <v>-0.820764498450256</v>
      </c>
      <c r="J19" s="17"/>
      <c r="K19" s="17">
        <f>('Cashflow'!D19-'Cashflow'!C19)/'Cashflow'!C19</f>
        <v>-0.897140961123707</v>
      </c>
    </row>
    <row r="20" ht="20.05" customHeight="1">
      <c r="B20" s="33">
        <v>2020</v>
      </c>
      <c r="C20" s="14">
        <v>768.3</v>
      </c>
      <c r="D20" s="25"/>
      <c r="E20" s="21">
        <v>129.6</v>
      </c>
      <c r="F20" s="21">
        <v>13.3</v>
      </c>
      <c r="G20" s="17">
        <f>C20/C19-1</f>
        <v>-0.200520291363163</v>
      </c>
      <c r="H20" s="17">
        <f>(E20+F20-C20)/C20</f>
        <v>-0.814004945984641</v>
      </c>
      <c r="I20" s="17">
        <f>AVERAGE(H17:H20)</f>
        <v>-0.817895254736539</v>
      </c>
      <c r="J20" s="17"/>
      <c r="K20" s="17">
        <f>('Cashflow'!D20-'Cashflow'!C20)/'Cashflow'!C20</f>
        <v>-1.11690540137272</v>
      </c>
    </row>
    <row r="21" ht="20.05" customHeight="1">
      <c r="B21" s="32"/>
      <c r="C21" s="14">
        <v>457.8</v>
      </c>
      <c r="D21" s="25"/>
      <c r="E21" s="21">
        <v>68.7</v>
      </c>
      <c r="F21" s="21">
        <v>-7.9</v>
      </c>
      <c r="G21" s="17">
        <f>C21/C20-1</f>
        <v>-0.404139008199922</v>
      </c>
      <c r="H21" s="17">
        <f>(E21+F21-C21)/C21</f>
        <v>-0.867190913062473</v>
      </c>
      <c r="I21" s="17">
        <f>AVERAGE(H18:H21)</f>
        <v>-0.85805570340518</v>
      </c>
      <c r="J21" s="17"/>
      <c r="K21" s="17">
        <f>('Cashflow'!D21-'Cashflow'!C21)/'Cashflow'!C21</f>
        <v>-0.990096675312426</v>
      </c>
    </row>
    <row r="22" ht="20.05" customHeight="1">
      <c r="B22" s="32"/>
      <c r="C22" s="14">
        <v>340.9</v>
      </c>
      <c r="D22" s="25"/>
      <c r="E22" s="21">
        <v>105.3</v>
      </c>
      <c r="F22" s="21">
        <v>-100.6</v>
      </c>
      <c r="G22" s="17">
        <f>C22/C21-1</f>
        <v>-0.255351681957187</v>
      </c>
      <c r="H22" s="17">
        <f>(E22+F22-C22)/C22</f>
        <v>-0.986212965679085</v>
      </c>
      <c r="I22" s="17">
        <f>AVERAGE(H19:H22)</f>
        <v>-0.885218491301217</v>
      </c>
      <c r="J22" s="17"/>
      <c r="K22" s="17">
        <f>('Cashflow'!D22-'Cashflow'!C22)/'Cashflow'!C22</f>
        <v>-1.1319167773351</v>
      </c>
    </row>
    <row r="23" ht="20.05" customHeight="1">
      <c r="B23" s="32"/>
      <c r="C23" s="14">
        <f>2061.7-SUM(C20:C22)</f>
        <v>494.7</v>
      </c>
      <c r="D23" s="25"/>
      <c r="E23" s="21">
        <f>269.4+177.8-SUM(E20:E22)</f>
        <v>143.6</v>
      </c>
      <c r="F23" s="21">
        <f>-138.9-SUM(F20:F22)</f>
        <v>-43.7</v>
      </c>
      <c r="G23" s="17">
        <f>C23/C22-1</f>
        <v>0.451158697565268</v>
      </c>
      <c r="H23" s="17">
        <f>(E23+F23-C23)/C23</f>
        <v>-0.79805942995755</v>
      </c>
      <c r="I23" s="17">
        <f>AVERAGE(H20:H23)</f>
        <v>-0.866367063670937</v>
      </c>
      <c r="J23" s="17"/>
      <c r="K23" s="17">
        <f>('Cashflow'!D23-'Cashflow'!C23)/'Cashflow'!C23</f>
        <v>-0.5920642893018579</v>
      </c>
    </row>
    <row r="24" ht="20.05" customHeight="1">
      <c r="B24" s="33">
        <v>2021</v>
      </c>
      <c r="C24" s="14">
        <v>398</v>
      </c>
      <c r="D24" s="24">
        <v>469.965</v>
      </c>
      <c r="E24" s="21">
        <v>107.5</v>
      </c>
      <c r="F24" s="21">
        <v>-86</v>
      </c>
      <c r="G24" s="17">
        <f>C24/C23-1</f>
        <v>-0.195472003234283</v>
      </c>
      <c r="H24" s="17">
        <f>(E24+F24-C24)/C24</f>
        <v>-0.945979899497487</v>
      </c>
      <c r="I24" s="17">
        <f>AVERAGE(H21:H24)</f>
        <v>-0.899360802049149</v>
      </c>
      <c r="J24" s="17"/>
      <c r="K24" s="17">
        <f>('Cashflow'!D24-'Cashflow'!C24)/'Cashflow'!C24</f>
        <v>-1.22411533420708</v>
      </c>
    </row>
    <row r="25" ht="20.05" customHeight="1">
      <c r="B25" s="32"/>
      <c r="C25" s="14">
        <f>1370.2-C24</f>
        <v>972.2</v>
      </c>
      <c r="D25" s="24">
        <v>995</v>
      </c>
      <c r="E25" s="21">
        <v>107.5</v>
      </c>
      <c r="F25" s="21">
        <f>137.8-F24</f>
        <v>223.8</v>
      </c>
      <c r="G25" s="17">
        <f>C25/C24-1</f>
        <v>1.4427135678392</v>
      </c>
      <c r="H25" s="17">
        <f>(E25+F25-C25)/C25</f>
        <v>-0.659226496605637</v>
      </c>
      <c r="I25" s="17">
        <f>AVERAGE(H22:H25)</f>
        <v>-0.84736969793494</v>
      </c>
      <c r="J25" s="17"/>
      <c r="K25" s="17">
        <f>('Cashflow'!D25-'Cashflow'!C25)/'Cashflow'!C25</f>
        <v>-0.7146100292604179</v>
      </c>
    </row>
    <row r="26" ht="20.05" customHeight="1">
      <c r="B26" s="32"/>
      <c r="C26" s="14">
        <f>1577.5-SUM(C24:C25)</f>
        <v>207.3</v>
      </c>
      <c r="D26" s="24">
        <v>826.37</v>
      </c>
      <c r="E26" s="21">
        <v>107.5</v>
      </c>
      <c r="F26" s="21">
        <f>102.8-SUM(F24:F25)</f>
        <v>-35</v>
      </c>
      <c r="G26" s="17">
        <f>C26/C25-1</f>
        <v>-0.786772269080436</v>
      </c>
      <c r="H26" s="17">
        <f>(E26+F26-C26)/C26</f>
        <v>-0.6502653159671971</v>
      </c>
      <c r="I26" s="17">
        <f>AVERAGE(H23:H26)</f>
        <v>-0.763382785506968</v>
      </c>
      <c r="J26" s="17"/>
      <c r="K26" s="17">
        <f>('Cashflow'!D26-'Cashflow'!C26)/'Cashflow'!C26</f>
        <v>-1.12266603639801</v>
      </c>
    </row>
    <row r="27" ht="20.05" customHeight="1">
      <c r="B27" s="32"/>
      <c r="C27" s="14">
        <f>2593-C26-C25-C24</f>
        <v>1015.5</v>
      </c>
      <c r="D27" s="24">
        <v>621.9</v>
      </c>
      <c r="E27" s="21">
        <v>107.5</v>
      </c>
      <c r="F27" s="21">
        <f>171-F26-F25-F24</f>
        <v>68.2</v>
      </c>
      <c r="G27" s="17">
        <f>C27/C26-1</f>
        <v>3.8986975397974</v>
      </c>
      <c r="H27" s="17">
        <f>(E27+F27-C27)/C27</f>
        <v>-0.826981782373215</v>
      </c>
      <c r="I27" s="17">
        <f>AVERAGE(H24:H27)</f>
        <v>-0.770613373610884</v>
      </c>
      <c r="J27" s="17">
        <f>I27</f>
        <v>-0.770613373610884</v>
      </c>
      <c r="K27" s="17">
        <f>('Cashflow'!D27-'Cashflow'!C27)/'Cashflow'!C27</f>
        <v>-0.89546833708525</v>
      </c>
    </row>
    <row r="28" ht="20.05" customHeight="1">
      <c r="B28" s="33">
        <v>2022</v>
      </c>
      <c r="C28" s="14"/>
      <c r="D28" s="24">
        <f>'Model'!C6</f>
        <v>863.175</v>
      </c>
      <c r="E28" s="25"/>
      <c r="F28" s="25"/>
      <c r="G28" s="13"/>
      <c r="H28" s="25"/>
      <c r="I28" s="13"/>
      <c r="J28" s="17">
        <f>'Model'!C7</f>
        <v>-0.770613373610884</v>
      </c>
      <c r="K28" s="13"/>
    </row>
    <row r="29" ht="20.05" customHeight="1">
      <c r="B29" s="32"/>
      <c r="C29" s="14"/>
      <c r="D29" s="24">
        <f>'Model'!D6</f>
        <v>1294.7625</v>
      </c>
      <c r="E29" s="25"/>
      <c r="F29" s="25"/>
      <c r="G29" s="13"/>
      <c r="H29" s="13"/>
      <c r="I29" s="13"/>
      <c r="J29" s="13"/>
      <c r="K29" s="13"/>
    </row>
    <row r="30" ht="20.05" customHeight="1">
      <c r="B30" s="32"/>
      <c r="C30" s="14"/>
      <c r="D30" s="24">
        <f>'Model'!E6</f>
        <v>1333.605375</v>
      </c>
      <c r="E30" s="25"/>
      <c r="F30" s="25"/>
      <c r="G30" s="13"/>
      <c r="H30" s="13"/>
      <c r="I30" s="13"/>
      <c r="J30" s="13"/>
      <c r="K30" s="13"/>
    </row>
    <row r="31" ht="20.05" customHeight="1">
      <c r="B31" s="32"/>
      <c r="C31" s="14"/>
      <c r="D31" s="15">
        <f>'Model'!F6</f>
        <v>1667.00671875</v>
      </c>
      <c r="E31" s="25"/>
      <c r="F31" s="25"/>
      <c r="G31" s="13"/>
      <c r="H31" s="13"/>
      <c r="I31" s="13"/>
      <c r="J31" s="13"/>
      <c r="K31" s="13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58594" style="34" customWidth="1"/>
    <col min="2" max="2" width="8.17969" style="34" customWidth="1"/>
    <col min="3" max="3" width="10.9766" style="34" customWidth="1"/>
    <col min="4" max="4" width="10.6719" style="34" customWidth="1"/>
    <col min="5" max="5" width="9.74219" style="34" customWidth="1"/>
    <col min="6" max="8" width="10.4609" style="34" customWidth="1"/>
    <col min="9" max="15" width="9.78906" style="34" customWidth="1"/>
    <col min="16" max="16384" width="16.3516" style="34" customWidth="1"/>
  </cols>
  <sheetData>
    <row r="1" ht="22.6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6">
        <v>1</v>
      </c>
      <c r="C3" t="s" s="6">
        <v>49</v>
      </c>
      <c r="D3" t="s" s="6">
        <v>50</v>
      </c>
      <c r="E3" t="s" s="6">
        <v>51</v>
      </c>
      <c r="F3" t="s" s="6">
        <v>10</v>
      </c>
      <c r="G3" t="s" s="6">
        <v>12</v>
      </c>
      <c r="H3" t="s" s="6">
        <v>26</v>
      </c>
      <c r="I3" t="s" s="6">
        <v>11</v>
      </c>
      <c r="J3" t="s" s="6">
        <v>52</v>
      </c>
      <c r="K3" t="s" s="6">
        <v>34</v>
      </c>
      <c r="L3" t="s" s="6">
        <v>36</v>
      </c>
      <c r="M3" t="s" s="6">
        <v>30</v>
      </c>
      <c r="N3" t="s" s="6">
        <v>36</v>
      </c>
      <c r="O3" s="5"/>
    </row>
    <row r="4" ht="20.25" customHeight="1">
      <c r="B4" s="28">
        <v>2016</v>
      </c>
      <c r="C4" s="35">
        <v>1469</v>
      </c>
      <c r="D4" s="30">
        <v>-267</v>
      </c>
      <c r="E4" s="30">
        <v>-68.8</v>
      </c>
      <c r="F4" s="30"/>
      <c r="G4" s="30"/>
      <c r="H4" s="30"/>
      <c r="I4" s="30">
        <v>-1.8</v>
      </c>
      <c r="J4" s="30">
        <v>-335.8</v>
      </c>
      <c r="K4" s="30"/>
      <c r="L4" s="30"/>
      <c r="M4" s="30">
        <f>-(I4)</f>
        <v>1.8</v>
      </c>
      <c r="N4" s="30"/>
      <c r="O4" s="30">
        <v>1</v>
      </c>
    </row>
    <row r="5" ht="20.05" customHeight="1">
      <c r="B5" s="32"/>
      <c r="C5" s="20">
        <v>2953</v>
      </c>
      <c r="D5" s="21">
        <v>1068.3</v>
      </c>
      <c r="E5" s="21">
        <v>-97.90000000000001</v>
      </c>
      <c r="F5" s="21"/>
      <c r="G5" s="21"/>
      <c r="H5" s="21"/>
      <c r="I5" s="21">
        <v>-206.6</v>
      </c>
      <c r="J5" s="21">
        <v>970.4</v>
      </c>
      <c r="K5" s="21"/>
      <c r="L5" s="21"/>
      <c r="M5" s="21">
        <f>-(I5-F5)+M4</f>
        <v>208.4</v>
      </c>
      <c r="N5" s="21"/>
      <c r="O5" s="21">
        <f>1+O4</f>
        <v>2</v>
      </c>
    </row>
    <row r="6" ht="20.05" customHeight="1">
      <c r="B6" s="32"/>
      <c r="C6" s="20">
        <v>1899.18</v>
      </c>
      <c r="D6" s="21">
        <v>-393.32</v>
      </c>
      <c r="E6" s="21">
        <v>166.7</v>
      </c>
      <c r="F6" s="21"/>
      <c r="G6" s="21"/>
      <c r="H6" s="21"/>
      <c r="I6" s="21">
        <v>-202.1</v>
      </c>
      <c r="J6" s="21">
        <v>-226.62</v>
      </c>
      <c r="K6" s="21"/>
      <c r="L6" s="21"/>
      <c r="M6" s="21">
        <f>-(I6-F6)+M5</f>
        <v>410.5</v>
      </c>
      <c r="N6" s="21"/>
      <c r="O6" s="21">
        <f>1+O5</f>
        <v>3</v>
      </c>
    </row>
    <row r="7" ht="20.05" customHeight="1">
      <c r="B7" s="32"/>
      <c r="C7" s="20">
        <v>1907.52</v>
      </c>
      <c r="D7" s="21">
        <v>351.02</v>
      </c>
      <c r="E7" s="21">
        <v>-589</v>
      </c>
      <c r="F7" s="21"/>
      <c r="G7" s="21"/>
      <c r="H7" s="21"/>
      <c r="I7" s="21">
        <v>0</v>
      </c>
      <c r="J7" s="21">
        <v>-237.98</v>
      </c>
      <c r="K7" s="21"/>
      <c r="L7" s="21"/>
      <c r="M7" s="21">
        <f>-(I7-F7)+M6</f>
        <v>410.5</v>
      </c>
      <c r="N7" s="21"/>
      <c r="O7" s="21">
        <f>1+O6</f>
        <v>4</v>
      </c>
    </row>
    <row r="8" ht="20.05" customHeight="1">
      <c r="B8" s="33">
        <v>2017</v>
      </c>
      <c r="C8" s="20">
        <v>1519</v>
      </c>
      <c r="D8" s="21">
        <v>-244.48</v>
      </c>
      <c r="E8" s="21">
        <v>40.8</v>
      </c>
      <c r="F8" s="21"/>
      <c r="G8" s="21"/>
      <c r="H8" s="21"/>
      <c r="I8" s="21">
        <v>40.8</v>
      </c>
      <c r="J8" s="21">
        <v>-203.68</v>
      </c>
      <c r="K8" s="21">
        <f>AVERAGE(J5:J8)</f>
        <v>75.53</v>
      </c>
      <c r="L8" s="21"/>
      <c r="M8" s="21">
        <f>-(I8-F8)+M7</f>
        <v>369.7</v>
      </c>
      <c r="N8" s="21"/>
      <c r="O8" s="21">
        <f>1+O7</f>
        <v>5</v>
      </c>
    </row>
    <row r="9" ht="20.05" customHeight="1">
      <c r="B9" s="32"/>
      <c r="C9" s="20">
        <v>3649.77</v>
      </c>
      <c r="D9" s="21">
        <v>1738.28</v>
      </c>
      <c r="E9" s="21">
        <v>-496.8</v>
      </c>
      <c r="F9" s="21"/>
      <c r="G9" s="21"/>
      <c r="H9" s="21"/>
      <c r="I9" s="21">
        <v>-282.8</v>
      </c>
      <c r="J9" s="21">
        <v>1241.48</v>
      </c>
      <c r="K9" s="21">
        <f>AVERAGE(J6:J9)</f>
        <v>143.3</v>
      </c>
      <c r="L9" s="21"/>
      <c r="M9" s="21">
        <f>-(I9-F9)+M8</f>
        <v>652.5</v>
      </c>
      <c r="N9" s="21"/>
      <c r="O9" s="21">
        <f>1+O8</f>
        <v>6</v>
      </c>
    </row>
    <row r="10" ht="20.05" customHeight="1">
      <c r="B10" s="32"/>
      <c r="C10" s="20">
        <v>1226.63</v>
      </c>
      <c r="D10" s="21">
        <v>-1056.15</v>
      </c>
      <c r="E10" s="21">
        <v>-68.58</v>
      </c>
      <c r="F10" s="21"/>
      <c r="G10" s="21"/>
      <c r="H10" s="21"/>
      <c r="I10" s="21">
        <v>0</v>
      </c>
      <c r="J10" s="21">
        <v>-1124.73</v>
      </c>
      <c r="K10" s="21">
        <f>AVERAGE(J7:J10)</f>
        <v>-81.22750000000001</v>
      </c>
      <c r="L10" s="21"/>
      <c r="M10" s="21">
        <f>-(I10-F10)+M9</f>
        <v>652.5</v>
      </c>
      <c r="N10" s="21"/>
      <c r="O10" s="21">
        <f>1+O9</f>
        <v>7</v>
      </c>
    </row>
    <row r="11" ht="20.05" customHeight="1">
      <c r="B11" s="32"/>
      <c r="C11" s="20">
        <v>1757.98</v>
      </c>
      <c r="D11" s="21">
        <v>413.92</v>
      </c>
      <c r="E11" s="21">
        <v>63.18</v>
      </c>
      <c r="F11" s="21"/>
      <c r="G11" s="21"/>
      <c r="H11" s="21"/>
      <c r="I11" s="21">
        <v>-0.02</v>
      </c>
      <c r="J11" s="21">
        <v>477.1</v>
      </c>
      <c r="K11" s="21">
        <f>AVERAGE(J8:J11)</f>
        <v>97.5425</v>
      </c>
      <c r="L11" s="21"/>
      <c r="M11" s="21">
        <f>-(I11-F11)+M10</f>
        <v>652.52</v>
      </c>
      <c r="N11" s="21"/>
      <c r="O11" s="21">
        <f>1+O10</f>
        <v>8</v>
      </c>
    </row>
    <row r="12" ht="20.05" customHeight="1">
      <c r="B12" s="33">
        <v>2018</v>
      </c>
      <c r="C12" s="20">
        <v>1500</v>
      </c>
      <c r="D12" s="21">
        <v>-220.6</v>
      </c>
      <c r="E12" s="21">
        <v>-219.49</v>
      </c>
      <c r="F12" s="21"/>
      <c r="G12" s="21"/>
      <c r="H12" s="21"/>
      <c r="I12" s="21">
        <v>-220</v>
      </c>
      <c r="J12" s="21">
        <v>-440.09</v>
      </c>
      <c r="K12" s="21">
        <f>AVERAGE(J9:J12)</f>
        <v>38.44</v>
      </c>
      <c r="L12" s="21"/>
      <c r="M12" s="21">
        <f>-(I12-F12)+M11</f>
        <v>872.52</v>
      </c>
      <c r="N12" s="21"/>
      <c r="O12" s="21">
        <f>1+O11</f>
        <v>9</v>
      </c>
    </row>
    <row r="13" ht="20.05" customHeight="1">
      <c r="B13" s="32"/>
      <c r="C13" s="20">
        <v>3755.4</v>
      </c>
      <c r="D13" s="21">
        <v>1789.6</v>
      </c>
      <c r="E13" s="21">
        <v>-925.51</v>
      </c>
      <c r="F13" s="21"/>
      <c r="G13" s="21"/>
      <c r="H13" s="21"/>
      <c r="I13" s="21">
        <v>-268.9</v>
      </c>
      <c r="J13" s="21">
        <v>864.09</v>
      </c>
      <c r="K13" s="21">
        <f>AVERAGE(J10:J13)</f>
        <v>-55.9075</v>
      </c>
      <c r="L13" s="21"/>
      <c r="M13" s="21">
        <f>-(I13-F13)+M12</f>
        <v>1141.42</v>
      </c>
      <c r="N13" s="21"/>
      <c r="O13" s="21">
        <f>1+O12</f>
        <v>10</v>
      </c>
    </row>
    <row r="14" ht="20.05" customHeight="1">
      <c r="B14" s="32"/>
      <c r="C14" s="20">
        <v>1404.8</v>
      </c>
      <c r="D14" s="21">
        <v>-1071.84</v>
      </c>
      <c r="E14" s="21">
        <v>1367.59</v>
      </c>
      <c r="F14" s="21"/>
      <c r="G14" s="21"/>
      <c r="H14" s="21"/>
      <c r="I14" s="21">
        <v>0</v>
      </c>
      <c r="J14" s="21">
        <v>295.75</v>
      </c>
      <c r="K14" s="21">
        <f>AVERAGE(J11:J14)</f>
        <v>299.2125</v>
      </c>
      <c r="L14" s="21"/>
      <c r="M14" s="21">
        <f>-(I14-F14)+M13</f>
        <v>1141.42</v>
      </c>
      <c r="N14" s="21"/>
      <c r="O14" s="21">
        <f>1+O13</f>
        <v>11</v>
      </c>
    </row>
    <row r="15" ht="20.05" customHeight="1">
      <c r="B15" s="32"/>
      <c r="C15" s="20">
        <v>1868.1</v>
      </c>
      <c r="D15" s="21">
        <v>289.94</v>
      </c>
      <c r="E15" s="21">
        <v>458.01</v>
      </c>
      <c r="F15" s="21"/>
      <c r="G15" s="21"/>
      <c r="H15" s="21"/>
      <c r="I15" s="21">
        <v>0</v>
      </c>
      <c r="J15" s="21">
        <v>747.95</v>
      </c>
      <c r="K15" s="21">
        <f>AVERAGE(J12:J15)</f>
        <v>366.925</v>
      </c>
      <c r="L15" s="21"/>
      <c r="M15" s="21">
        <f>-(I15-F15)+M14</f>
        <v>1141.42</v>
      </c>
      <c r="N15" s="21"/>
      <c r="O15" s="21">
        <f>1+O14</f>
        <v>12</v>
      </c>
    </row>
    <row r="16" ht="20.05" customHeight="1">
      <c r="B16" s="33">
        <v>2019</v>
      </c>
      <c r="C16" s="20">
        <v>1486.5</v>
      </c>
      <c r="D16" s="21">
        <v>-254.3</v>
      </c>
      <c r="E16" s="21">
        <v>-586.1</v>
      </c>
      <c r="F16" s="21"/>
      <c r="G16" s="21"/>
      <c r="H16" s="21"/>
      <c r="I16" s="21">
        <v>35.4</v>
      </c>
      <c r="J16" s="21">
        <v>-840.4</v>
      </c>
      <c r="K16" s="21">
        <f>AVERAGE(J13:J16)</f>
        <v>266.8475</v>
      </c>
      <c r="L16" s="21"/>
      <c r="M16" s="21">
        <f>-(I16-F16)+M15</f>
        <v>1106.02</v>
      </c>
      <c r="N16" s="21"/>
      <c r="O16" s="21">
        <f>1+O15</f>
        <v>13</v>
      </c>
    </row>
    <row r="17" ht="20.05" customHeight="1">
      <c r="B17" s="32"/>
      <c r="C17" s="20">
        <v>3774.3</v>
      </c>
      <c r="D17" s="21">
        <v>1903.3</v>
      </c>
      <c r="E17" s="21">
        <v>-280.3</v>
      </c>
      <c r="F17" s="21"/>
      <c r="G17" s="21"/>
      <c r="H17" s="21"/>
      <c r="I17" s="21">
        <v>-337.2</v>
      </c>
      <c r="J17" s="21">
        <v>1623</v>
      </c>
      <c r="K17" s="21">
        <f>AVERAGE(J14:J17)</f>
        <v>456.575</v>
      </c>
      <c r="L17" s="21"/>
      <c r="M17" s="21">
        <f>-(I17-F17)+M16</f>
        <v>1443.22</v>
      </c>
      <c r="N17" s="21"/>
      <c r="O17" s="21">
        <f>1+O16</f>
        <v>14</v>
      </c>
    </row>
    <row r="18" ht="20.05" customHeight="1">
      <c r="B18" s="32"/>
      <c r="C18" s="20">
        <v>1456.9</v>
      </c>
      <c r="D18" s="21">
        <v>-759.4</v>
      </c>
      <c r="E18" s="21">
        <v>-771.5</v>
      </c>
      <c r="F18" s="21"/>
      <c r="G18" s="21"/>
      <c r="H18" s="21"/>
      <c r="I18" s="21">
        <v>0</v>
      </c>
      <c r="J18" s="21">
        <v>-1530.9</v>
      </c>
      <c r="K18" s="21">
        <f>AVERAGE(J15:J18)</f>
        <v>-0.08749999999999999</v>
      </c>
      <c r="L18" s="21"/>
      <c r="M18" s="21">
        <f>-(I18-F18)+M17</f>
        <v>1443.22</v>
      </c>
      <c r="N18" s="21"/>
      <c r="O18" s="21">
        <f>1+O17</f>
        <v>15</v>
      </c>
    </row>
    <row r="19" ht="20.05" customHeight="1">
      <c r="B19" s="32"/>
      <c r="C19" s="20">
        <v>1808.3</v>
      </c>
      <c r="D19" s="21">
        <v>186</v>
      </c>
      <c r="E19" s="21">
        <v>1121.4</v>
      </c>
      <c r="F19" s="21"/>
      <c r="G19" s="21"/>
      <c r="H19" s="21"/>
      <c r="I19" s="21">
        <v>0</v>
      </c>
      <c r="J19" s="21">
        <v>1307.4</v>
      </c>
      <c r="K19" s="21">
        <f>AVERAGE(J16:J19)</f>
        <v>139.775</v>
      </c>
      <c r="L19" s="21"/>
      <c r="M19" s="21">
        <f>-(I19-F19)+M18</f>
        <v>1443.22</v>
      </c>
      <c r="N19" s="21"/>
      <c r="O19" s="21">
        <f>1+O18</f>
        <v>16</v>
      </c>
    </row>
    <row r="20" ht="20.05" customHeight="1">
      <c r="B20" s="33">
        <v>2020</v>
      </c>
      <c r="C20" s="20">
        <v>1340.4</v>
      </c>
      <c r="D20" s="21">
        <v>-156.7</v>
      </c>
      <c r="E20" s="21">
        <v>-889.6</v>
      </c>
      <c r="F20" s="21"/>
      <c r="G20" s="21"/>
      <c r="H20" s="21"/>
      <c r="I20" s="21">
        <v>-0.7</v>
      </c>
      <c r="J20" s="21">
        <v>-1046.3</v>
      </c>
      <c r="K20" s="21">
        <f>AVERAGE(J17:J20)</f>
        <v>88.3</v>
      </c>
      <c r="L20" s="21"/>
      <c r="M20" s="21">
        <f>-(I20-F20)+M19</f>
        <v>1443.92</v>
      </c>
      <c r="N20" s="21"/>
      <c r="O20" s="21">
        <f>1+O19</f>
        <v>17</v>
      </c>
    </row>
    <row r="21" ht="20.05" customHeight="1">
      <c r="B21" s="32"/>
      <c r="C21" s="20">
        <v>848.2</v>
      </c>
      <c r="D21" s="21">
        <v>8.4</v>
      </c>
      <c r="E21" s="21">
        <v>1077.4</v>
      </c>
      <c r="F21" s="21"/>
      <c r="G21" s="21"/>
      <c r="H21" s="21"/>
      <c r="I21" s="21">
        <v>-3.6</v>
      </c>
      <c r="J21" s="21">
        <v>1085.8</v>
      </c>
      <c r="K21" s="21">
        <f>AVERAGE(J18:J21)</f>
        <v>-46</v>
      </c>
      <c r="L21" s="21"/>
      <c r="M21" s="21">
        <f>-(I21-F21)+M20</f>
        <v>1447.52</v>
      </c>
      <c r="N21" s="21"/>
      <c r="O21" s="21">
        <f>1+O20</f>
        <v>18</v>
      </c>
    </row>
    <row r="22" ht="20.05" customHeight="1">
      <c r="B22" s="32"/>
      <c r="C22" s="20">
        <v>677.7</v>
      </c>
      <c r="D22" s="21">
        <v>-89.40000000000001</v>
      </c>
      <c r="E22" s="21">
        <v>49.1</v>
      </c>
      <c r="F22" s="21"/>
      <c r="G22" s="21"/>
      <c r="H22" s="21"/>
      <c r="I22" s="21">
        <v>-332.9</v>
      </c>
      <c r="J22" s="21">
        <v>-40.3</v>
      </c>
      <c r="K22" s="21">
        <f>AVERAGE(J19:J22)</f>
        <v>326.65</v>
      </c>
      <c r="L22" s="21"/>
      <c r="M22" s="21">
        <f>-(I22-F22)+M21</f>
        <v>1780.42</v>
      </c>
      <c r="N22" s="21"/>
      <c r="O22" s="21">
        <f>1+O21</f>
        <v>19</v>
      </c>
    </row>
    <row r="23" ht="20.05" customHeight="1">
      <c r="B23" s="32"/>
      <c r="C23" s="20">
        <f>3861.8-SUM(C20:C22)</f>
        <v>995.5</v>
      </c>
      <c r="D23" s="21">
        <f>168.4-SUM(D20:D22)</f>
        <v>406.1</v>
      </c>
      <c r="E23" s="21">
        <f>-320.7-SUM(E20:E22)</f>
        <v>-557.6</v>
      </c>
      <c r="F23" s="21"/>
      <c r="G23" s="21"/>
      <c r="H23" s="21"/>
      <c r="I23" s="21">
        <f>-501.6-SUM(I20:I22)</f>
        <v>-164.4</v>
      </c>
      <c r="J23" s="21">
        <f>D23+E23</f>
        <v>-151.5</v>
      </c>
      <c r="K23" s="21">
        <f>AVERAGE(J20:J23)</f>
        <v>-38.075</v>
      </c>
      <c r="L23" s="21"/>
      <c r="M23" s="21">
        <f>-(I23-F23)+M22</f>
        <v>1944.82</v>
      </c>
      <c r="N23" s="21"/>
      <c r="O23" s="21">
        <f>1+O22</f>
        <v>20</v>
      </c>
    </row>
    <row r="24" ht="20.05" customHeight="1">
      <c r="B24" s="33">
        <v>2021</v>
      </c>
      <c r="C24" s="20">
        <v>763</v>
      </c>
      <c r="D24" s="21">
        <v>-171</v>
      </c>
      <c r="E24" s="21">
        <v>-266</v>
      </c>
      <c r="F24" s="21">
        <v>-52</v>
      </c>
      <c r="G24" s="21">
        <v>0</v>
      </c>
      <c r="H24" s="21">
        <v>0</v>
      </c>
      <c r="I24" s="21">
        <v>-52</v>
      </c>
      <c r="J24" s="21">
        <f>D24+E24</f>
        <v>-437</v>
      </c>
      <c r="K24" s="21">
        <f>AVERAGE(J21:J24)</f>
        <v>114.25</v>
      </c>
      <c r="L24" s="21"/>
      <c r="M24" s="21">
        <f>-(I24-F24)+M23</f>
        <v>1944.82</v>
      </c>
      <c r="N24" s="21"/>
      <c r="O24" s="21">
        <f>1+O23</f>
        <v>21</v>
      </c>
    </row>
    <row r="25" ht="20.05" customHeight="1">
      <c r="B25" s="32"/>
      <c r="C25" s="20">
        <f>2745.2-C24</f>
        <v>1982.2</v>
      </c>
      <c r="D25" s="21">
        <f>394.7-D24</f>
        <v>565.7</v>
      </c>
      <c r="E25" s="21">
        <f>-719.2-E24</f>
        <v>-453.2</v>
      </c>
      <c r="F25" s="21">
        <f>-107.648-F24</f>
        <v>-55.648</v>
      </c>
      <c r="G25" s="21">
        <v>0</v>
      </c>
      <c r="H25" s="21">
        <f>-230.799</f>
        <v>-230.799</v>
      </c>
      <c r="I25" s="21">
        <f>-338.4-I24</f>
        <v>-286.4</v>
      </c>
      <c r="J25" s="21">
        <f>D25+E25</f>
        <v>112.5</v>
      </c>
      <c r="K25" s="21">
        <f>AVERAGE(J22:J25)</f>
        <v>-129.075</v>
      </c>
      <c r="L25" s="21"/>
      <c r="M25" s="21">
        <f>-(I25-F25)+M24</f>
        <v>2175.572</v>
      </c>
      <c r="N25" s="21"/>
      <c r="O25" s="21">
        <f>1+O24</f>
        <v>22</v>
      </c>
    </row>
    <row r="26" ht="20.05" customHeight="1">
      <c r="B26" s="32"/>
      <c r="C26" s="20">
        <f>3168.3-SUM(C24:C25)</f>
        <v>423.1</v>
      </c>
      <c r="D26" s="21">
        <f>342.8-SUM(D24:D25)</f>
        <v>-51.9</v>
      </c>
      <c r="E26" s="21">
        <f>-564.7-SUM(E24:E25)</f>
        <v>154.5</v>
      </c>
      <c r="F26" s="21">
        <f>-123-SUM(F24:F25)</f>
        <v>-15.352</v>
      </c>
      <c r="G26" s="21"/>
      <c r="H26" s="21">
        <f>-250.075-H25-H24</f>
        <v>-19.276</v>
      </c>
      <c r="I26" s="21">
        <f>-373.1-SUM(I24:I25)</f>
        <v>-34.7</v>
      </c>
      <c r="J26" s="21">
        <f>D26+E26</f>
        <v>102.6</v>
      </c>
      <c r="K26" s="21">
        <f>AVERAGE(J23:J26)</f>
        <v>-93.34999999999999</v>
      </c>
      <c r="L26" s="21"/>
      <c r="M26" s="21">
        <f>-(I26-F26)+M25</f>
        <v>2194.92</v>
      </c>
      <c r="N26" s="21"/>
      <c r="O26" s="21">
        <f>1+O25</f>
        <v>23</v>
      </c>
    </row>
    <row r="27" ht="20.05" customHeight="1">
      <c r="B27" s="32"/>
      <c r="C27" s="20">
        <f>4190-C26-C25-C24</f>
        <v>1021.7</v>
      </c>
      <c r="D27" s="21">
        <f>449.6-D26-D25-D24</f>
        <v>106.8</v>
      </c>
      <c r="E27" s="21">
        <f>2-E26-E25-E24</f>
        <v>566.7</v>
      </c>
      <c r="F27" s="21">
        <f>-113-F26-F25-F24</f>
        <v>10</v>
      </c>
      <c r="G27" s="21"/>
      <c r="H27" s="21">
        <f>-311-H26-H25-H24</f>
        <v>-60.925</v>
      </c>
      <c r="I27" s="21">
        <f>-424-I26-I25-I24</f>
        <v>-50.9</v>
      </c>
      <c r="J27" s="21">
        <f>D27+E27</f>
        <v>673.5</v>
      </c>
      <c r="K27" s="21">
        <f>AVERAGE(J24:J27)</f>
        <v>112.9</v>
      </c>
      <c r="L27" s="21">
        <f>K27</f>
        <v>112.9</v>
      </c>
      <c r="M27" s="21">
        <f>-(I27-F27)+M26</f>
        <v>2255.82</v>
      </c>
      <c r="N27" s="21">
        <f>M27</f>
        <v>2255.82</v>
      </c>
      <c r="O27" s="21">
        <f>1+O26</f>
        <v>24</v>
      </c>
    </row>
    <row r="28" ht="20.05" customHeight="1">
      <c r="B28" s="33">
        <v>2022</v>
      </c>
      <c r="C28" s="20"/>
      <c r="D28" s="21"/>
      <c r="E28" s="21"/>
      <c r="F28" s="21"/>
      <c r="G28" s="21"/>
      <c r="H28" s="21"/>
      <c r="I28" s="21"/>
      <c r="J28" s="21"/>
      <c r="K28" s="25"/>
      <c r="L28" s="21">
        <f>SUM('Model'!C9:F11)/4</f>
        <v>293.649572092813</v>
      </c>
      <c r="M28" s="25"/>
      <c r="N28" s="21">
        <f>'Model'!F33</f>
        <v>2897.967337935630</v>
      </c>
      <c r="O28" s="21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6" customWidth="1"/>
    <col min="2" max="2" width="6.26562" style="36" customWidth="1"/>
    <col min="3" max="11" width="11.1641" style="36" customWidth="1"/>
    <col min="12" max="16384" width="16.3516" style="36" customWidth="1"/>
  </cols>
  <sheetData>
    <row r="1" ht="35.7" customHeight="1"/>
    <row r="2" ht="27.65" customHeight="1">
      <c r="B2" t="s" s="2">
        <v>53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6">
        <v>54</v>
      </c>
      <c r="C3" t="s" s="6">
        <v>55</v>
      </c>
      <c r="D3" t="s" s="6">
        <v>53</v>
      </c>
      <c r="E3" t="s" s="6">
        <v>23</v>
      </c>
      <c r="F3" t="s" s="6">
        <v>24</v>
      </c>
      <c r="G3" t="s" s="6">
        <v>12</v>
      </c>
      <c r="H3" t="s" s="6">
        <v>26</v>
      </c>
      <c r="I3" t="s" s="6">
        <v>27</v>
      </c>
      <c r="J3" t="s" s="6">
        <v>28</v>
      </c>
      <c r="K3" t="s" s="6">
        <v>36</v>
      </c>
    </row>
    <row r="4" ht="20.25" customHeight="1">
      <c r="B4" s="28">
        <v>2015</v>
      </c>
      <c r="C4" s="35">
        <v>364</v>
      </c>
      <c r="D4" s="30">
        <v>4382</v>
      </c>
      <c r="E4" s="30">
        <f>D4-C4</f>
        <v>4018</v>
      </c>
      <c r="F4" s="30">
        <v>1767</v>
      </c>
      <c r="G4" s="30">
        <v>1017</v>
      </c>
      <c r="H4" s="30">
        <v>3365</v>
      </c>
      <c r="I4" s="30">
        <f>G4+H4-C4-E4</f>
        <v>0</v>
      </c>
      <c r="J4" s="30">
        <f>C4-G4</f>
        <v>-653</v>
      </c>
      <c r="K4" s="30"/>
    </row>
    <row r="5" ht="20.05" customHeight="1">
      <c r="B5" s="32"/>
      <c r="C5" s="20">
        <v>781</v>
      </c>
      <c r="D5" s="21">
        <v>4872</v>
      </c>
      <c r="E5" s="21">
        <f>D5-C5</f>
        <v>4091</v>
      </c>
      <c r="F5" s="21">
        <v>1805</v>
      </c>
      <c r="G5" s="21">
        <v>1614</v>
      </c>
      <c r="H5" s="21">
        <v>3258</v>
      </c>
      <c r="I5" s="21">
        <f>G5+H5-C5-E5</f>
        <v>0</v>
      </c>
      <c r="J5" s="21">
        <f>C5-G5</f>
        <v>-833</v>
      </c>
      <c r="K5" s="21"/>
    </row>
    <row r="6" ht="20.05" customHeight="1">
      <c r="B6" s="32"/>
      <c r="C6" s="20">
        <v>728</v>
      </c>
      <c r="D6" s="21">
        <v>4484</v>
      </c>
      <c r="E6" s="21">
        <f>D6-C6</f>
        <v>3756</v>
      </c>
      <c r="F6" s="21">
        <v>1851</v>
      </c>
      <c r="G6" s="21">
        <v>1051</v>
      </c>
      <c r="H6" s="21">
        <v>3433</v>
      </c>
      <c r="I6" s="21">
        <f>G6+H6-C6-E6</f>
        <v>0</v>
      </c>
      <c r="J6" s="21">
        <f>C6-G6</f>
        <v>-323</v>
      </c>
      <c r="K6" s="21"/>
    </row>
    <row r="7" ht="20.05" customHeight="1">
      <c r="B7" s="32"/>
      <c r="C7" s="20">
        <v>844</v>
      </c>
      <c r="D7" s="21">
        <v>4575</v>
      </c>
      <c r="E7" s="21">
        <f>D7-C7</f>
        <v>3731</v>
      </c>
      <c r="F7" s="21">
        <v>1867</v>
      </c>
      <c r="G7" s="21">
        <v>1241</v>
      </c>
      <c r="H7" s="21">
        <v>3334</v>
      </c>
      <c r="I7" s="21">
        <f>G7+H7-C7-E7</f>
        <v>0</v>
      </c>
      <c r="J7" s="21">
        <f>C7-G7</f>
        <v>-397</v>
      </c>
      <c r="K7" s="21"/>
    </row>
    <row r="8" ht="20.05" customHeight="1">
      <c r="B8" s="33">
        <v>2016</v>
      </c>
      <c r="C8" s="20">
        <v>506</v>
      </c>
      <c r="D8" s="21">
        <v>4332</v>
      </c>
      <c r="E8" s="21">
        <f>D8-C8</f>
        <v>3826</v>
      </c>
      <c r="F8" s="21">
        <v>1913</v>
      </c>
      <c r="G8" s="21">
        <v>991</v>
      </c>
      <c r="H8" s="21">
        <v>3341</v>
      </c>
      <c r="I8" s="21">
        <f>G8+H8-C8-E8</f>
        <v>0</v>
      </c>
      <c r="J8" s="21">
        <f>C8-G8</f>
        <v>-485</v>
      </c>
      <c r="K8" s="21"/>
    </row>
    <row r="9" ht="20.05" customHeight="1">
      <c r="B9" s="32"/>
      <c r="C9" s="20">
        <v>1270</v>
      </c>
      <c r="D9" s="21">
        <v>5310</v>
      </c>
      <c r="E9" s="21">
        <f>D9-C9</f>
        <v>4040</v>
      </c>
      <c r="F9" s="21">
        <v>1957</v>
      </c>
      <c r="G9" s="21">
        <v>1930</v>
      </c>
      <c r="H9" s="21">
        <v>3380</v>
      </c>
      <c r="I9" s="21">
        <f>G9+H9-C9-E9</f>
        <v>0</v>
      </c>
      <c r="J9" s="21">
        <f>C9-G9</f>
        <v>-660</v>
      </c>
      <c r="K9" s="21"/>
    </row>
    <row r="10" ht="20.05" customHeight="1">
      <c r="B10" s="32"/>
      <c r="C10" s="20">
        <v>476</v>
      </c>
      <c r="D10" s="21">
        <v>4414</v>
      </c>
      <c r="E10" s="21">
        <f>D10-C10</f>
        <v>3938</v>
      </c>
      <c r="F10" s="21">
        <v>1989</v>
      </c>
      <c r="G10" s="21">
        <v>1128</v>
      </c>
      <c r="H10" s="21">
        <v>3286</v>
      </c>
      <c r="I10" s="21">
        <f>G10+H10-C10-E10</f>
        <v>0</v>
      </c>
      <c r="J10" s="21">
        <f>C10-G10</f>
        <v>-652</v>
      </c>
      <c r="K10" s="21"/>
    </row>
    <row r="11" ht="20.05" customHeight="1">
      <c r="B11" s="32"/>
      <c r="C11" s="20">
        <v>604</v>
      </c>
      <c r="D11" s="21">
        <v>4647</v>
      </c>
      <c r="E11" s="21">
        <f>D11-C11</f>
        <v>4043</v>
      </c>
      <c r="F11" s="21">
        <v>2036</v>
      </c>
      <c r="G11" s="21">
        <v>1310</v>
      </c>
      <c r="H11" s="21">
        <v>3337</v>
      </c>
      <c r="I11" s="21">
        <f>G11+H11-C11-E11</f>
        <v>0</v>
      </c>
      <c r="J11" s="21">
        <f>C11-G11</f>
        <v>-706</v>
      </c>
      <c r="K11" s="21"/>
    </row>
    <row r="12" ht="20.05" customHeight="1">
      <c r="B12" s="33">
        <v>2017</v>
      </c>
      <c r="C12" s="20">
        <v>400</v>
      </c>
      <c r="D12" s="21">
        <v>4475</v>
      </c>
      <c r="E12" s="21">
        <f>D12-C12</f>
        <v>4075</v>
      </c>
      <c r="F12" s="21">
        <v>2082</v>
      </c>
      <c r="G12" s="21">
        <v>1133</v>
      </c>
      <c r="H12" s="21">
        <v>3342</v>
      </c>
      <c r="I12" s="21">
        <f>G12+H12-C12-E12</f>
        <v>0</v>
      </c>
      <c r="J12" s="21">
        <f>C12-G12</f>
        <v>-733</v>
      </c>
      <c r="K12" s="21"/>
    </row>
    <row r="13" ht="20.05" customHeight="1">
      <c r="B13" s="32"/>
      <c r="C13" s="20">
        <v>1399</v>
      </c>
      <c r="D13" s="21">
        <v>5823</v>
      </c>
      <c r="E13" s="21">
        <f>D13-C13</f>
        <v>4424</v>
      </c>
      <c r="F13" s="21">
        <v>2126</v>
      </c>
      <c r="G13" s="21">
        <v>2356</v>
      </c>
      <c r="H13" s="21">
        <v>3467</v>
      </c>
      <c r="I13" s="21">
        <f>G13+H13-C13-E13</f>
        <v>0</v>
      </c>
      <c r="J13" s="21">
        <f>C13-G13</f>
        <v>-957</v>
      </c>
      <c r="K13" s="21"/>
    </row>
    <row r="14" ht="20.05" customHeight="1">
      <c r="B14" s="32"/>
      <c r="C14" s="20">
        <v>275</v>
      </c>
      <c r="D14" s="21">
        <v>4512</v>
      </c>
      <c r="E14" s="21">
        <f>D14-C14</f>
        <v>4237</v>
      </c>
      <c r="F14" s="21">
        <v>2171</v>
      </c>
      <c r="G14" s="21">
        <v>1046</v>
      </c>
      <c r="H14" s="21">
        <v>3466</v>
      </c>
      <c r="I14" s="21">
        <f>G14+H14-C14-E14</f>
        <v>0</v>
      </c>
      <c r="J14" s="21">
        <f>C14-G14</f>
        <v>-771</v>
      </c>
      <c r="K14" s="21"/>
    </row>
    <row r="15" ht="20.05" customHeight="1">
      <c r="B15" s="32"/>
      <c r="C15" s="20">
        <v>752</v>
      </c>
      <c r="D15" s="21">
        <v>4892</v>
      </c>
      <c r="E15" s="21">
        <f>D15-C15</f>
        <v>4140</v>
      </c>
      <c r="F15" s="21">
        <v>2215</v>
      </c>
      <c r="G15" s="21">
        <v>1398</v>
      </c>
      <c r="H15" s="21">
        <v>3494</v>
      </c>
      <c r="I15" s="21">
        <f>G15+H15-C15-E15</f>
        <v>0</v>
      </c>
      <c r="J15" s="21">
        <f>C15-G15</f>
        <v>-646</v>
      </c>
      <c r="K15" s="21"/>
    </row>
    <row r="16" ht="20.05" customHeight="1">
      <c r="B16" s="33">
        <v>2018</v>
      </c>
      <c r="C16" s="20">
        <v>312</v>
      </c>
      <c r="D16" s="21">
        <v>4851</v>
      </c>
      <c r="E16" s="21">
        <f>D16-C16</f>
        <v>4539</v>
      </c>
      <c r="F16" s="21">
        <v>2259</v>
      </c>
      <c r="G16" s="21">
        <v>1342</v>
      </c>
      <c r="H16" s="21">
        <v>3509</v>
      </c>
      <c r="I16" s="21">
        <f>G16+H16-C16-E16</f>
        <v>0</v>
      </c>
      <c r="J16" s="21">
        <f>C16-G16</f>
        <v>-1030</v>
      </c>
      <c r="K16" s="21"/>
    </row>
    <row r="17" ht="20.05" customHeight="1">
      <c r="B17" s="32"/>
      <c r="C17" s="20">
        <v>907</v>
      </c>
      <c r="D17" s="21">
        <v>6105</v>
      </c>
      <c r="E17" s="21">
        <f>D17-C17</f>
        <v>5198</v>
      </c>
      <c r="F17" s="21">
        <v>2302</v>
      </c>
      <c r="G17" s="21">
        <v>2395</v>
      </c>
      <c r="H17" s="21">
        <v>3710</v>
      </c>
      <c r="I17" s="21">
        <f>G17+H17-C17-E17</f>
        <v>0</v>
      </c>
      <c r="J17" s="21">
        <f>C17-G17</f>
        <v>-1488</v>
      </c>
      <c r="K17" s="21"/>
    </row>
    <row r="18" ht="20.05" customHeight="1">
      <c r="B18" s="32"/>
      <c r="C18" s="20">
        <v>1203</v>
      </c>
      <c r="D18" s="21">
        <v>4983</v>
      </c>
      <c r="E18" s="21">
        <f>D18-C18</f>
        <v>3780</v>
      </c>
      <c r="F18" s="21">
        <v>2334</v>
      </c>
      <c r="G18" s="21">
        <v>1235</v>
      </c>
      <c r="H18" s="21">
        <v>3748</v>
      </c>
      <c r="I18" s="21">
        <f>G18+H18-C18-E18</f>
        <v>0</v>
      </c>
      <c r="J18" s="21">
        <f>C18-G18</f>
        <v>-32</v>
      </c>
      <c r="K18" s="21"/>
    </row>
    <row r="19" ht="20.05" customHeight="1">
      <c r="B19" s="32"/>
      <c r="C19" s="20">
        <v>1951</v>
      </c>
      <c r="D19" s="21">
        <v>5243</v>
      </c>
      <c r="E19" s="21">
        <f>D19-C19</f>
        <v>3292</v>
      </c>
      <c r="F19" s="21">
        <v>2379</v>
      </c>
      <c r="G19" s="21">
        <v>1416</v>
      </c>
      <c r="H19" s="21">
        <v>3827</v>
      </c>
      <c r="I19" s="21">
        <f>G19+H19-C19-E19</f>
        <v>0</v>
      </c>
      <c r="J19" s="21">
        <f>C19-G19</f>
        <v>535</v>
      </c>
      <c r="K19" s="21"/>
    </row>
    <row r="20" ht="20.05" customHeight="1">
      <c r="B20" s="33">
        <v>2019</v>
      </c>
      <c r="C20" s="20">
        <v>1146</v>
      </c>
      <c r="D20" s="21">
        <v>5250</v>
      </c>
      <c r="E20" s="21">
        <f>D20-C20</f>
        <v>4104</v>
      </c>
      <c r="F20" s="21">
        <v>2424</v>
      </c>
      <c r="G20" s="21">
        <v>1329</v>
      </c>
      <c r="H20" s="21">
        <v>3921</v>
      </c>
      <c r="I20" s="21">
        <f>G20+H20-C20-E20</f>
        <v>0</v>
      </c>
      <c r="J20" s="21">
        <f>C20-G20</f>
        <v>-183</v>
      </c>
      <c r="K20" s="21"/>
    </row>
    <row r="21" ht="20.05" customHeight="1">
      <c r="B21" s="32"/>
      <c r="C21" s="20">
        <v>2432</v>
      </c>
      <c r="D21" s="21">
        <v>6266</v>
      </c>
      <c r="E21" s="21">
        <f>D21-C21</f>
        <v>3834</v>
      </c>
      <c r="F21" s="21">
        <v>2463</v>
      </c>
      <c r="G21" s="21">
        <v>2170</v>
      </c>
      <c r="H21" s="21">
        <v>4096</v>
      </c>
      <c r="I21" s="21">
        <f>G21+H21-C21-E21</f>
        <v>0</v>
      </c>
      <c r="J21" s="21">
        <f>C21-G21</f>
        <v>262</v>
      </c>
      <c r="K21" s="21"/>
    </row>
    <row r="22" ht="20.05" customHeight="1">
      <c r="B22" s="32"/>
      <c r="C22" s="20">
        <v>901</v>
      </c>
      <c r="D22" s="21">
        <v>5313</v>
      </c>
      <c r="E22" s="21">
        <f>D22-C22</f>
        <v>4412</v>
      </c>
      <c r="F22" s="21">
        <v>2504</v>
      </c>
      <c r="G22" s="21">
        <v>1197</v>
      </c>
      <c r="H22" s="21">
        <v>4116</v>
      </c>
      <c r="I22" s="21">
        <f>G22+H22-C22-E22</f>
        <v>0</v>
      </c>
      <c r="J22" s="21">
        <f>C22-G22</f>
        <v>-296</v>
      </c>
      <c r="K22" s="21"/>
    </row>
    <row r="23" ht="20.05" customHeight="1">
      <c r="B23" s="32"/>
      <c r="C23" s="20">
        <v>2208</v>
      </c>
      <c r="D23" s="21">
        <v>5650</v>
      </c>
      <c r="E23" s="21">
        <f>D23-C23</f>
        <v>3442</v>
      </c>
      <c r="F23" s="21">
        <f>2554</f>
        <v>2554</v>
      </c>
      <c r="G23" s="21">
        <v>1481</v>
      </c>
      <c r="H23" s="21">
        <v>4169</v>
      </c>
      <c r="I23" s="21">
        <f>G23+H23-C23-E23</f>
        <v>0</v>
      </c>
      <c r="J23" s="21">
        <f>C23-G23</f>
        <v>727</v>
      </c>
      <c r="K23" s="21"/>
    </row>
    <row r="24" ht="20.05" customHeight="1">
      <c r="B24" s="33">
        <v>2020</v>
      </c>
      <c r="C24" s="20">
        <v>1161</v>
      </c>
      <c r="D24" s="21">
        <v>5777</v>
      </c>
      <c r="E24" s="21">
        <f>D24-C24</f>
        <v>4616</v>
      </c>
      <c r="F24" s="21">
        <f>1262+2598</f>
        <v>3860</v>
      </c>
      <c r="G24" s="21">
        <v>3933</v>
      </c>
      <c r="H24" s="21">
        <v>1844</v>
      </c>
      <c r="I24" s="21">
        <f>G24+H24-C24-E24</f>
        <v>0</v>
      </c>
      <c r="J24" s="21">
        <f>C24-G24</f>
        <v>-2772</v>
      </c>
      <c r="K24" s="21"/>
    </row>
    <row r="25" ht="20.05" customHeight="1">
      <c r="B25" s="32"/>
      <c r="C25" s="20">
        <v>2243</v>
      </c>
      <c r="D25" s="21">
        <v>5465</v>
      </c>
      <c r="E25" s="21">
        <f>D25-C25</f>
        <v>3222</v>
      </c>
      <c r="F25" s="21">
        <f>1289+2640</f>
        <v>3929</v>
      </c>
      <c r="G25" s="21">
        <v>1296</v>
      </c>
      <c r="H25" s="21">
        <v>4169</v>
      </c>
      <c r="I25" s="21">
        <f>G25+H25-C25-E25</f>
        <v>0</v>
      </c>
      <c r="J25" s="21">
        <f>C25-G25</f>
        <v>947</v>
      </c>
      <c r="K25" s="21"/>
    </row>
    <row r="26" ht="20.05" customHeight="1">
      <c r="B26" s="32"/>
      <c r="C26" s="20">
        <v>1870</v>
      </c>
      <c r="D26" s="21">
        <v>4772</v>
      </c>
      <c r="E26" s="21">
        <f>D26-C26</f>
        <v>2902</v>
      </c>
      <c r="F26" s="21">
        <f>1344+2690</f>
        <v>4034</v>
      </c>
      <c r="G26" s="21">
        <f>1036</f>
        <v>1036</v>
      </c>
      <c r="H26" s="21">
        <v>3736</v>
      </c>
      <c r="I26" s="21">
        <f>G26+H26-C26-E26</f>
        <v>0</v>
      </c>
      <c r="J26" s="21">
        <f>C26-G26</f>
        <v>834</v>
      </c>
      <c r="K26" s="21"/>
    </row>
    <row r="27" ht="20.05" customHeight="1">
      <c r="B27" s="32"/>
      <c r="C27" s="20">
        <v>1554</v>
      </c>
      <c r="D27" s="21">
        <v>5285</v>
      </c>
      <c r="E27" s="21">
        <f>D27-C27</f>
        <v>3731</v>
      </c>
      <c r="F27" s="21">
        <f>2732+269</f>
        <v>3001</v>
      </c>
      <c r="G27" s="21">
        <v>1566</v>
      </c>
      <c r="H27" s="21">
        <v>3719</v>
      </c>
      <c r="I27" s="21">
        <f>G27+H27-C27-E27</f>
        <v>0</v>
      </c>
      <c r="J27" s="21">
        <f>C27-G27</f>
        <v>-12</v>
      </c>
      <c r="K27" s="21"/>
    </row>
    <row r="28" ht="20.05" customHeight="1">
      <c r="B28" s="33">
        <v>2021</v>
      </c>
      <c r="C28" s="20">
        <v>1065</v>
      </c>
      <c r="D28" s="21">
        <v>5148</v>
      </c>
      <c r="E28" s="21">
        <f>D28-C28</f>
        <v>4083</v>
      </c>
      <c r="F28" s="21">
        <f>F27+#REF!</f>
      </c>
      <c r="G28" s="21">
        <v>1514</v>
      </c>
      <c r="H28" s="21">
        <v>3634</v>
      </c>
      <c r="I28" s="21">
        <f>G28+H28-C28-E28</f>
        <v>0</v>
      </c>
      <c r="J28" s="21">
        <f>C28-G28</f>
        <v>-449</v>
      </c>
      <c r="K28" s="21"/>
    </row>
    <row r="29" ht="20.05" customHeight="1">
      <c r="B29" s="32"/>
      <c r="C29" s="20">
        <v>891</v>
      </c>
      <c r="D29" s="21">
        <v>5026</v>
      </c>
      <c r="E29" s="21">
        <f>D29-C29</f>
        <v>4135</v>
      </c>
      <c r="F29" s="21">
        <f>395+12+2822</f>
        <v>3229</v>
      </c>
      <c r="G29" s="21">
        <v>1399</v>
      </c>
      <c r="H29" s="21">
        <v>3627</v>
      </c>
      <c r="I29" s="21">
        <f>G29+H29-C29-E29</f>
        <v>0</v>
      </c>
      <c r="J29" s="21">
        <f>C29-G29</f>
        <v>-508</v>
      </c>
      <c r="K29" s="21"/>
    </row>
    <row r="30" ht="20.05" customHeight="1">
      <c r="B30" s="32"/>
      <c r="C30" s="20">
        <v>959</v>
      </c>
      <c r="D30" s="21">
        <v>4859</v>
      </c>
      <c r="E30" s="21">
        <f>D30-C30</f>
        <v>3900</v>
      </c>
      <c r="F30" s="21">
        <f>424+12+2859</f>
        <v>3295</v>
      </c>
      <c r="G30" s="21">
        <v>1287</v>
      </c>
      <c r="H30" s="21">
        <v>3572</v>
      </c>
      <c r="I30" s="21">
        <f>G30+H30-C30-E30</f>
        <v>0</v>
      </c>
      <c r="J30" s="21">
        <f>C30-G30</f>
        <v>-328</v>
      </c>
      <c r="K30" s="21"/>
    </row>
    <row r="31" ht="20.05" customHeight="1">
      <c r="B31" s="32"/>
      <c r="C31" s="20">
        <f>C30+'Cashflow'!D27+'Cashflow'!E27+'Cashflow'!I27</f>
        <v>1581.6</v>
      </c>
      <c r="D31" s="21">
        <v>5085</v>
      </c>
      <c r="E31" s="21">
        <f>D31-C31</f>
        <v>3503.4</v>
      </c>
      <c r="F31" s="21">
        <f>F30+'Sales'!E27</f>
        <v>3402.5</v>
      </c>
      <c r="G31" s="21">
        <v>1489</v>
      </c>
      <c r="H31" s="21">
        <f>D31-G31</f>
        <v>3596</v>
      </c>
      <c r="I31" s="21">
        <f>G31+H31-C31-E31</f>
        <v>0</v>
      </c>
      <c r="J31" s="21">
        <f>C31-G31</f>
        <v>92.59999999999999</v>
      </c>
      <c r="K31" s="21">
        <f>J31</f>
        <v>92.59999999999999</v>
      </c>
    </row>
    <row r="32" ht="20.05" customHeight="1">
      <c r="B32" s="33">
        <v>2022</v>
      </c>
      <c r="C32" s="20"/>
      <c r="D32" s="21"/>
      <c r="E32" s="21"/>
      <c r="F32" s="21"/>
      <c r="G32" s="21"/>
      <c r="H32" s="21"/>
      <c r="I32" s="21"/>
      <c r="J32" s="21"/>
      <c r="K32" s="21">
        <f>'Model'!F31</f>
        <v>901.251144185630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66406" style="37" customWidth="1"/>
    <col min="2" max="2" width="8.35156" style="37" customWidth="1"/>
    <col min="3" max="3" width="8.73438" style="37" customWidth="1"/>
    <col min="4" max="5" width="8.53125" style="37" customWidth="1"/>
    <col min="6" max="16384" width="16.3516" style="37" customWidth="1"/>
  </cols>
  <sheetData>
    <row r="1" ht="31.85" customHeight="1"/>
    <row r="2" ht="27.65" customHeight="1">
      <c r="B2" t="s" s="2">
        <v>56</v>
      </c>
      <c r="C2" s="2"/>
      <c r="D2" s="2"/>
      <c r="E2" s="2"/>
    </row>
    <row r="3" ht="20.25" customHeight="1">
      <c r="B3" s="4"/>
      <c r="C3" t="s" s="38">
        <v>57</v>
      </c>
      <c r="D3" t="s" s="38">
        <v>39</v>
      </c>
      <c r="E3" t="s" s="38">
        <v>58</v>
      </c>
    </row>
    <row r="4" ht="20.25" customHeight="1">
      <c r="B4" s="28">
        <v>2018</v>
      </c>
      <c r="C4" s="39">
        <v>1350</v>
      </c>
      <c r="D4" s="30"/>
      <c r="E4" s="30"/>
    </row>
    <row r="5" ht="20.05" customHeight="1">
      <c r="B5" s="32"/>
      <c r="C5" s="40">
        <v>1490</v>
      </c>
      <c r="D5" s="21"/>
      <c r="E5" s="21"/>
    </row>
    <row r="6" ht="20.05" customHeight="1">
      <c r="B6" s="32"/>
      <c r="C6" s="40">
        <v>1300</v>
      </c>
      <c r="D6" s="21"/>
      <c r="E6" s="21"/>
    </row>
    <row r="7" ht="20.05" customHeight="1">
      <c r="B7" s="32"/>
      <c r="C7" s="40">
        <v>1420</v>
      </c>
      <c r="D7" s="21"/>
      <c r="E7" s="21"/>
    </row>
    <row r="8" ht="20.05" customHeight="1">
      <c r="B8" s="33">
        <v>2019</v>
      </c>
      <c r="C8" s="40">
        <v>1780</v>
      </c>
      <c r="D8" s="21"/>
      <c r="E8" s="21"/>
    </row>
    <row r="9" ht="20.05" customHeight="1">
      <c r="B9" s="32"/>
      <c r="C9" s="40">
        <v>1410</v>
      </c>
      <c r="D9" s="21"/>
      <c r="E9" s="21"/>
    </row>
    <row r="10" ht="20.05" customHeight="1">
      <c r="B10" s="32"/>
      <c r="C10" s="40">
        <v>1205</v>
      </c>
      <c r="D10" s="21"/>
      <c r="E10" s="21"/>
    </row>
    <row r="11" ht="20.05" customHeight="1">
      <c r="B11" s="32"/>
      <c r="C11" s="40">
        <v>1065</v>
      </c>
      <c r="D11" s="21"/>
      <c r="E11" s="21"/>
    </row>
    <row r="12" ht="20.05" customHeight="1">
      <c r="B12" s="33">
        <v>2020</v>
      </c>
      <c r="C12" s="40">
        <v>466</v>
      </c>
      <c r="D12" s="21"/>
      <c r="E12" s="21"/>
    </row>
    <row r="13" ht="20.05" customHeight="1">
      <c r="B13" s="32"/>
      <c r="C13" s="40">
        <v>595</v>
      </c>
      <c r="D13" s="21"/>
      <c r="E13" s="21"/>
    </row>
    <row r="14" ht="20.05" customHeight="1">
      <c r="B14" s="32"/>
      <c r="C14" s="40">
        <v>530</v>
      </c>
      <c r="D14" s="21"/>
      <c r="E14" s="21"/>
    </row>
    <row r="15" ht="20.05" customHeight="1">
      <c r="B15" s="32"/>
      <c r="C15" s="40">
        <v>775</v>
      </c>
      <c r="D15" s="21"/>
      <c r="E15" s="21"/>
    </row>
    <row r="16" ht="20.05" customHeight="1">
      <c r="B16" s="33">
        <v>2021</v>
      </c>
      <c r="C16" s="40">
        <v>780</v>
      </c>
      <c r="D16" s="21"/>
      <c r="E16" s="21"/>
    </row>
    <row r="17" ht="20.05" customHeight="1">
      <c r="B17" s="32"/>
      <c r="C17" s="40">
        <v>675</v>
      </c>
      <c r="D17" s="21"/>
      <c r="E17" s="21"/>
    </row>
    <row r="18" ht="20.05" customHeight="1">
      <c r="B18" s="32"/>
      <c r="C18" s="40">
        <v>685</v>
      </c>
      <c r="D18" s="21"/>
      <c r="E18" s="21"/>
    </row>
    <row r="19" ht="20.05" customHeight="1">
      <c r="B19" s="32"/>
      <c r="C19" s="40">
        <v>680</v>
      </c>
      <c r="D19" s="21"/>
      <c r="E19" s="21"/>
    </row>
    <row r="20" ht="20.05" customHeight="1">
      <c r="B20" s="33">
        <v>2022</v>
      </c>
      <c r="C20" s="40">
        <v>745</v>
      </c>
      <c r="D20" s="21">
        <f>C20</f>
        <v>745</v>
      </c>
      <c r="E20" s="21">
        <v>1202.336534851870</v>
      </c>
    </row>
    <row r="21" ht="20.05" customHeight="1">
      <c r="B21" s="32"/>
      <c r="C21" s="40"/>
      <c r="D21" s="21">
        <f>'Model'!F44</f>
        <v>1489.766667824060</v>
      </c>
      <c r="E21" s="21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