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 " sheetId="4" r:id="rId7"/>
    <sheet name="Share price" sheetId="5" r:id="rId8"/>
  </sheets>
</workbook>
</file>

<file path=xl/sharedStrings.xml><?xml version="1.0" encoding="utf-8"?>
<sst xmlns="http://schemas.openxmlformats.org/spreadsheetml/2006/main" uniqueCount="58">
  <si>
    <t>Financial model</t>
  </si>
  <si>
    <t>Rp bn</t>
  </si>
  <si>
    <t>4Q 2022</t>
  </si>
  <si>
    <t>Cashflow</t>
  </si>
  <si>
    <t>Growth</t>
  </si>
  <si>
    <t>Sales</t>
  </si>
  <si>
    <t>Cost ratio</t>
  </si>
  <si>
    <t>Cash costs</t>
  </si>
  <si>
    <t>Operating</t>
  </si>
  <si>
    <t>Investment</t>
  </si>
  <si>
    <t>Finance</t>
  </si>
  <si>
    <t xml:space="preserve">Liabilities </t>
  </si>
  <si>
    <t>Revolver</t>
  </si>
  <si>
    <t xml:space="preserve">Payout </t>
  </si>
  <si>
    <t>Equity</t>
  </si>
  <si>
    <t>Before revolver</t>
  </si>
  <si>
    <t>Beginning</t>
  </si>
  <si>
    <t>Change</t>
  </si>
  <si>
    <t>Ending</t>
  </si>
  <si>
    <t>Profit</t>
  </si>
  <si>
    <t xml:space="preserve">Non cash costs </t>
  </si>
  <si>
    <t>Net profit</t>
  </si>
  <si>
    <t>Balance sheet</t>
  </si>
  <si>
    <t>Other assets</t>
  </si>
  <si>
    <t xml:space="preserve">Depreciation </t>
  </si>
  <si>
    <t>Net LT assets</t>
  </si>
  <si>
    <t>Check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</si>
  <si>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</si>
  <si>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</si>
  <si>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</si>
  <si>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</si>
  <si>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</si>
  <si>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 xml:space="preserve">Yield </t>
  </si>
  <si>
    <t xml:space="preserve">Payback </t>
  </si>
  <si>
    <t xml:space="preserve">Forecast </t>
  </si>
  <si>
    <t xml:space="preserve">Value </t>
  </si>
  <si>
    <t xml:space="preserve">Shares </t>
  </si>
  <si>
    <t>Target</t>
  </si>
  <si>
    <t xml:space="preserve">Current </t>
  </si>
  <si>
    <t>V target</t>
  </si>
  <si>
    <t xml:space="preserve">12 month growth </t>
  </si>
  <si>
    <t xml:space="preserve">Sales forecasts </t>
  </si>
  <si>
    <t>Rpbn</t>
  </si>
  <si>
    <t xml:space="preserve">Net sales </t>
  </si>
  <si>
    <t xml:space="preserve">Sales growth </t>
  </si>
  <si>
    <t xml:space="preserve">Cost ratio </t>
  </si>
  <si>
    <t>Receipts</t>
  </si>
  <si>
    <t xml:space="preserve">Operating </t>
  </si>
  <si>
    <t xml:space="preserve">Investment </t>
  </si>
  <si>
    <t xml:space="preserve">Interest </t>
  </si>
  <si>
    <t>Leases</t>
  </si>
  <si>
    <t xml:space="preserve">Equity </t>
  </si>
  <si>
    <t xml:space="preserve">Free cashflow </t>
  </si>
  <si>
    <t xml:space="preserve">Cash </t>
  </si>
  <si>
    <t>Assets</t>
  </si>
  <si>
    <t xml:space="preserve">Check </t>
  </si>
  <si>
    <t>Share price</t>
  </si>
  <si>
    <t>PZZA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</si>
</sst>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#,##0.0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1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4"/>
      </right>
      <top style="thin">
        <color indexed="10"/>
      </top>
      <bottom style="thin">
        <color indexed="10"/>
      </bottom>
      <diagonal/>
    </border>
    <border>
      <left style="thin">
        <color indexed="14"/>
      </left>
      <right style="thin">
        <color indexed="14"/>
      </right>
      <top style="thin">
        <color indexed="10"/>
      </top>
      <bottom style="thin">
        <color indexed="15"/>
      </bottom>
      <diagonal/>
    </border>
    <border>
      <left style="thin">
        <color indexed="14"/>
      </left>
      <right style="thin">
        <color indexed="10"/>
      </right>
      <top style="thin">
        <color indexed="10"/>
      </top>
      <bottom style="thin">
        <color indexed="15"/>
      </bottom>
      <diagonal/>
    </border>
    <border>
      <left style="thin">
        <color indexed="10"/>
      </left>
      <right style="thin">
        <color indexed="15"/>
      </right>
      <top style="thin">
        <color indexed="10"/>
      </top>
      <bottom style="thin">
        <color indexed="14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0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5"/>
      </right>
      <top style="thin">
        <color indexed="15"/>
      </top>
      <bottom style="thin">
        <color indexed="10"/>
      </bottom>
      <diagonal/>
    </border>
    <border>
      <left style="thin">
        <color indexed="14"/>
      </left>
      <right style="thin">
        <color indexed="15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4"/>
      </right>
      <top style="thin">
        <color indexed="14"/>
      </top>
      <bottom style="thin">
        <color indexed="10"/>
      </bottom>
      <diagonal/>
    </border>
    <border>
      <left style="thin">
        <color indexed="1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5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8" applyNumberFormat="0" applyFont="1" applyFill="1" applyBorder="1" applyAlignment="1" applyProtection="0">
      <alignment vertical="top" wrapText="1"/>
    </xf>
    <xf numFmtId="49" fontId="2" fillId="2" borderId="9" applyNumberFormat="1" applyFont="1" applyFill="1" applyBorder="1" applyAlignment="1" applyProtection="0">
      <alignment horizontal="right" vertical="top" wrapText="1"/>
    </xf>
    <xf numFmtId="49" fontId="2" fillId="2" borderId="10" applyNumberFormat="1" applyFont="1" applyFill="1" applyBorder="1" applyAlignment="1" applyProtection="0">
      <alignment horizontal="right" vertical="top" wrapText="1"/>
    </xf>
    <xf numFmtId="0" fontId="2" fillId="4" borderId="11" applyNumberFormat="1" applyFont="1" applyFill="1" applyBorder="1" applyAlignment="1" applyProtection="0">
      <alignment vertical="top" wrapText="1"/>
    </xf>
    <xf numFmtId="1" fontId="3" borderId="12" applyNumberFormat="1" applyFont="1" applyFill="0" applyBorder="1" applyAlignment="1" applyProtection="0">
      <alignment horizontal="right" vertical="center" wrapText="1" readingOrder="1"/>
    </xf>
    <xf numFmtId="3" fontId="3" borderId="12" applyNumberFormat="1" applyFont="1" applyFill="0" applyBorder="1" applyAlignment="1" applyProtection="0">
      <alignment horizontal="right" vertical="center" wrapText="1" readingOrder="1"/>
    </xf>
    <xf numFmtId="0" fontId="2" fillId="4" borderId="13" applyNumberFormat="0" applyFont="1" applyFill="1" applyBorder="1" applyAlignment="1" applyProtection="0">
      <alignment vertical="top" wrapText="1"/>
    </xf>
    <xf numFmtId="3" fontId="3" borderId="14" applyNumberFormat="1" applyFont="1" applyFill="0" applyBorder="1" applyAlignment="1" applyProtection="0">
      <alignment horizontal="right" vertical="center" wrapText="1" readingOrder="1"/>
    </xf>
    <xf numFmtId="3" fontId="3" borderId="15" applyNumberFormat="1" applyFont="1" applyFill="0" applyBorder="1" applyAlignment="1" applyProtection="0">
      <alignment horizontal="right" vertical="center" wrapText="1" readingOrder="1"/>
    </xf>
    <xf numFmtId="1" fontId="3" borderId="15" applyNumberFormat="1" applyFont="1" applyFill="0" applyBorder="1" applyAlignment="1" applyProtection="0">
      <alignment horizontal="right" vertical="center" wrapText="1" readingOrder="1"/>
    </xf>
    <xf numFmtId="0" fontId="2" fillId="4" borderId="13" applyNumberFormat="1" applyFont="1" applyFill="1" applyBorder="1" applyAlignment="1" applyProtection="0">
      <alignment vertical="top" wrapText="1"/>
    </xf>
    <xf numFmtId="1" fontId="0" borderId="12" applyNumberFormat="1" applyFont="1" applyFill="0" applyBorder="1" applyAlignment="1" applyProtection="0">
      <alignment horizontal="right" vertical="top" wrapText="1"/>
    </xf>
    <xf numFmtId="0" fontId="2" fillId="4" borderId="16" applyNumberFormat="0" applyFont="1" applyFill="1" applyBorder="1" applyAlignment="1" applyProtection="0">
      <alignment vertical="top" wrapText="1"/>
    </xf>
    <xf numFmtId="1" fontId="3" borderId="17" applyNumberFormat="1" applyFont="1" applyFill="0" applyBorder="1" applyAlignment="1" applyProtection="0">
      <alignment horizontal="right" vertical="center" wrapText="1" readingOrder="1"/>
    </xf>
    <xf numFmtId="0" fontId="0" borderId="18" applyNumberFormat="0" applyFont="1" applyFill="0" applyBorder="1" applyAlignment="1" applyProtection="0">
      <alignment vertical="top" wrapText="1"/>
    </xf>
    <xf numFmtId="0" fontId="2" fillId="4" borderId="8" applyNumberFormat="0" applyFont="1" applyFill="1" applyBorder="1" applyAlignment="1" applyProtection="0">
      <alignment vertical="top" wrapText="1"/>
    </xf>
    <xf numFmtId="0" fontId="2" fillId="4" borderId="8" applyNumberFormat="1" applyFont="1" applyFill="1" applyBorder="1" applyAlignment="1" applyProtection="0">
      <alignment vertical="top" wrapText="1"/>
    </xf>
    <xf numFmtId="3" fontId="0" borderId="17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c2c2c2"/>
      <rgbColor rgb="ffdbdbdb"/>
      <rgbColor rgb="ffc6c6c6"/>
      <rgbColor rgb="ffbfbfb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409296</xdr:colOff>
      <xdr:row>1</xdr:row>
      <xdr:rowOff>328646</xdr:rowOff>
    </xdr:from>
    <xdr:to>
      <xdr:col>13</xdr:col>
      <xdr:colOff>456328</xdr:colOff>
      <xdr:row>49</xdr:row>
      <xdr:rowOff>78697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752696" y="543911"/>
          <a:ext cx="8759233" cy="1207222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" style="1" customWidth="1"/>
    <col min="2" max="2" width="14.2656" style="1" customWidth="1"/>
    <col min="3" max="6" width="8.67188" style="1" customWidth="1"/>
    <col min="7" max="16384" width="16.3516" style="1" customWidth="1"/>
  </cols>
  <sheetData>
    <row r="1" ht="16.9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t="s" s="5">
        <v>2</v>
      </c>
      <c r="F3" s="6"/>
    </row>
    <row r="4" ht="20.25" customHeight="1">
      <c r="B4" t="s" s="7">
        <v>3</v>
      </c>
      <c r="C4" s="8">
        <f>AVERAGE('Sales'!G21:G24)</f>
        <v>0.0640784843590629</v>
      </c>
      <c r="D4" s="9"/>
      <c r="E4" s="9"/>
      <c r="F4" s="10">
        <f>AVERAGE(C5:F5)</f>
        <v>0.0475</v>
      </c>
    </row>
    <row r="5" ht="20.05" customHeight="1">
      <c r="B5" t="s" s="11">
        <v>4</v>
      </c>
      <c r="C5" s="12">
        <v>0.1</v>
      </c>
      <c r="D5" s="13">
        <v>0.02</v>
      </c>
      <c r="E5" s="13">
        <v>0.1</v>
      </c>
      <c r="F5" s="13">
        <v>-0.03</v>
      </c>
    </row>
    <row r="6" ht="20.05" customHeight="1">
      <c r="B6" t="s" s="11">
        <v>5</v>
      </c>
      <c r="C6" s="14">
        <f>'Sales'!C24*(1+C5)</f>
        <v>938.08</v>
      </c>
      <c r="D6" s="15">
        <f>C6*(1+D5)</f>
        <v>956.8416</v>
      </c>
      <c r="E6" s="15">
        <f>D6*(1+E5)</f>
        <v>1052.52576</v>
      </c>
      <c r="F6" s="15">
        <f>E6*(1+F5)</f>
        <v>1020.9499872</v>
      </c>
    </row>
    <row r="7" ht="20.05" customHeight="1">
      <c r="B7" t="s" s="11">
        <v>6</v>
      </c>
      <c r="C7" s="16">
        <f>AVERAGE('Sales'!I24)</f>
        <v>-0.875839007047166</v>
      </c>
      <c r="D7" s="17">
        <f>C7</f>
        <v>-0.875839007047166</v>
      </c>
      <c r="E7" s="17">
        <f>D7</f>
        <v>-0.875839007047166</v>
      </c>
      <c r="F7" s="17">
        <f>E7</f>
        <v>-0.875839007047166</v>
      </c>
    </row>
    <row r="8" ht="20.05" customHeight="1">
      <c r="B8" t="s" s="11">
        <v>7</v>
      </c>
      <c r="C8" s="18">
        <f>C7*C6</f>
        <v>-821.607055730805</v>
      </c>
      <c r="D8" s="19">
        <f>D7*D6</f>
        <v>-838.039196845422</v>
      </c>
      <c r="E8" s="19">
        <f>E7*E6</f>
        <v>-921.843116529964</v>
      </c>
      <c r="F8" s="19">
        <f>F7*F6</f>
        <v>-894.187823034065</v>
      </c>
    </row>
    <row r="9" ht="20.05" customHeight="1">
      <c r="B9" t="s" s="11">
        <v>8</v>
      </c>
      <c r="C9" s="18">
        <f>C6+C8</f>
        <v>116.472944269195</v>
      </c>
      <c r="D9" s="19">
        <f>D6+D8</f>
        <v>118.802403154578</v>
      </c>
      <c r="E9" s="19">
        <f>E6+E8</f>
        <v>130.682643470036</v>
      </c>
      <c r="F9" s="19">
        <f>F6+F8</f>
        <v>126.762164165935</v>
      </c>
    </row>
    <row r="10" ht="20.05" customHeight="1">
      <c r="B10" t="s" s="11">
        <v>9</v>
      </c>
      <c r="C10" s="18">
        <f>AVERAGE('Cashflow'!E20:E24)</f>
        <v>-93.84</v>
      </c>
      <c r="D10" s="19">
        <f>C10</f>
        <v>-93.84</v>
      </c>
      <c r="E10" s="19">
        <f>D10</f>
        <v>-93.84</v>
      </c>
      <c r="F10" s="19">
        <f>E10</f>
        <v>-93.84</v>
      </c>
    </row>
    <row r="11" ht="20.05" customHeight="1">
      <c r="B11" t="s" s="11">
        <v>10</v>
      </c>
      <c r="C11" s="18">
        <f>C12+C15+C13</f>
        <v>-22.632944269195</v>
      </c>
      <c r="D11" s="19">
        <f>D12+D15+D13</f>
        <v>-24.9624031545784</v>
      </c>
      <c r="E11" s="19">
        <f>E12+E15+E13</f>
        <v>-36.8426434700358</v>
      </c>
      <c r="F11" s="19">
        <f>F12+F15+F13</f>
        <v>-32.9221641659345</v>
      </c>
    </row>
    <row r="12" ht="20.05" customHeight="1">
      <c r="B12" t="s" s="11">
        <v>11</v>
      </c>
      <c r="C12" s="18">
        <f>-('Balance Sheet '!G20)/20</f>
        <v>-53.75</v>
      </c>
      <c r="D12" s="19">
        <f>-C27/4</f>
        <v>-255.3125</v>
      </c>
      <c r="E12" s="19">
        <f>-D27/4</f>
        <v>-191.484375</v>
      </c>
      <c r="F12" s="19">
        <f>-E27/4</f>
        <v>-143.61328125</v>
      </c>
    </row>
    <row r="13" ht="20.05" customHeight="1">
      <c r="B13" t="s" s="11">
        <v>12</v>
      </c>
      <c r="C13" s="18">
        <f>-MIN(0,C16)</f>
        <v>37.1089390115635</v>
      </c>
      <c r="D13" s="19">
        <f>-MIN(C28,D16)</f>
        <v>237.040817791795</v>
      </c>
      <c r="E13" s="19">
        <f>-MIN(D28,E16)</f>
        <v>164.896524570975</v>
      </c>
      <c r="F13" s="19">
        <f>-MIN(E28,F16)</f>
        <v>119.769766333846</v>
      </c>
    </row>
    <row r="14" ht="20.05" customHeight="1">
      <c r="B14" t="s" s="11">
        <v>13</v>
      </c>
      <c r="C14" s="20">
        <v>0.3</v>
      </c>
      <c r="D14" s="19"/>
      <c r="E14" s="19"/>
      <c r="F14" s="19"/>
    </row>
    <row r="15" ht="20.05" customHeight="1">
      <c r="B15" t="s" s="11">
        <v>14</v>
      </c>
      <c r="C15" s="18">
        <f>IF(C22&gt;0,-C22*$C$14,0)</f>
        <v>-5.9918832807585</v>
      </c>
      <c r="D15" s="19">
        <f>IF(D22&gt;0,-D22*$C$14,0)</f>
        <v>-6.6907209463734</v>
      </c>
      <c r="E15" s="19">
        <f>IF(E22&gt;0,-E22*$C$14,0)</f>
        <v>-10.2547930410108</v>
      </c>
      <c r="F15" s="19">
        <f>IF(F22&gt;0,-F22*$C$14,0)</f>
        <v>-9.078649249780501</v>
      </c>
    </row>
    <row r="16" ht="20.05" customHeight="1">
      <c r="B16" t="s" s="11">
        <v>15</v>
      </c>
      <c r="C16" s="18">
        <f>C9+C10+C12+C15</f>
        <v>-37.1089390115635</v>
      </c>
      <c r="D16" s="19">
        <f>D9+D10+D12+D15</f>
        <v>-237.040817791795</v>
      </c>
      <c r="E16" s="19">
        <f>E9+E10+E12+E15</f>
        <v>-164.896524570975</v>
      </c>
      <c r="F16" s="19">
        <f>F9+F10+F12+F15</f>
        <v>-119.769766333846</v>
      </c>
    </row>
    <row r="17" ht="20.05" customHeight="1">
      <c r="B17" t="s" s="11">
        <v>16</v>
      </c>
      <c r="C17" s="18">
        <f>'Balance Sheet '!C20</f>
        <v>39</v>
      </c>
      <c r="D17" s="19">
        <f>C19</f>
        <v>39</v>
      </c>
      <c r="E17" s="19">
        <f>D19</f>
        <v>38.9999999999996</v>
      </c>
      <c r="F17" s="19">
        <f>E19</f>
        <v>38.9999999999998</v>
      </c>
    </row>
    <row r="18" ht="20.05" customHeight="1">
      <c r="B18" t="s" s="11">
        <v>17</v>
      </c>
      <c r="C18" s="18">
        <f>C9+C10+C11</f>
        <v>0</v>
      </c>
      <c r="D18" s="19">
        <f>D9+D10+D11</f>
        <v>-4e-13</v>
      </c>
      <c r="E18" s="19">
        <f>E9+E10+E11</f>
        <v>2e-13</v>
      </c>
      <c r="F18" s="19">
        <f>F9+F10+F11</f>
        <v>5e-13</v>
      </c>
    </row>
    <row r="19" ht="20.05" customHeight="1">
      <c r="B19" t="s" s="11">
        <v>18</v>
      </c>
      <c r="C19" s="18">
        <f>C17+C18</f>
        <v>39</v>
      </c>
      <c r="D19" s="19">
        <f>D17+D18</f>
        <v>38.9999999999996</v>
      </c>
      <c r="E19" s="19">
        <f>E17+E18</f>
        <v>38.9999999999998</v>
      </c>
      <c r="F19" s="19">
        <f>F17+F18</f>
        <v>39.0000000000003</v>
      </c>
    </row>
    <row r="20" ht="20.05" customHeight="1">
      <c r="B20" t="s" s="21">
        <v>19</v>
      </c>
      <c r="C20" s="18"/>
      <c r="D20" s="19"/>
      <c r="E20" s="19"/>
      <c r="F20" s="22"/>
    </row>
    <row r="21" ht="20.05" customHeight="1">
      <c r="B21" t="s" s="11">
        <v>20</v>
      </c>
      <c r="C21" s="18">
        <f>-AVERAGE('Sales'!E24)</f>
        <v>-96.5</v>
      </c>
      <c r="D21" s="19">
        <f>C21</f>
        <v>-96.5</v>
      </c>
      <c r="E21" s="19">
        <f>D21</f>
        <v>-96.5</v>
      </c>
      <c r="F21" s="19">
        <f>E21</f>
        <v>-96.5</v>
      </c>
    </row>
    <row r="22" ht="20.05" customHeight="1">
      <c r="B22" t="s" s="11">
        <v>21</v>
      </c>
      <c r="C22" s="18">
        <f>C6+C8+C21</f>
        <v>19.972944269195</v>
      </c>
      <c r="D22" s="19">
        <f>D6+D8+D21</f>
        <v>22.302403154578</v>
      </c>
      <c r="E22" s="19">
        <f>E6+E8+E21</f>
        <v>34.182643470036</v>
      </c>
      <c r="F22" s="19">
        <f>F6+F8+F21</f>
        <v>30.262164165935</v>
      </c>
    </row>
    <row r="23" ht="20.05" customHeight="1">
      <c r="B23" t="s" s="11">
        <v>22</v>
      </c>
      <c r="C23" s="18"/>
      <c r="D23" s="19"/>
      <c r="E23" s="19"/>
      <c r="F23" s="19"/>
    </row>
    <row r="24" ht="20.05" customHeight="1">
      <c r="B24" t="s" s="11">
        <v>23</v>
      </c>
      <c r="C24" s="18">
        <f>'Balance Sheet '!E20+'Balance Sheet '!F20-C10</f>
        <v>3992.84</v>
      </c>
      <c r="D24" s="19">
        <f>C24-D10</f>
        <v>4086.68</v>
      </c>
      <c r="E24" s="19">
        <f>D24-E10</f>
        <v>4180.52</v>
      </c>
      <c r="F24" s="19">
        <f>E24-F10</f>
        <v>4274.36</v>
      </c>
    </row>
    <row r="25" ht="20.05" customHeight="1">
      <c r="B25" t="s" s="11">
        <v>24</v>
      </c>
      <c r="C25" s="18">
        <f>'Balance Sheet '!F20-C21</f>
        <v>1793.5</v>
      </c>
      <c r="D25" s="19">
        <f>C25-D21</f>
        <v>1890</v>
      </c>
      <c r="E25" s="19">
        <f>D25-E21</f>
        <v>1986.5</v>
      </c>
      <c r="F25" s="19">
        <f>E25-F21</f>
        <v>2083</v>
      </c>
    </row>
    <row r="26" ht="20.05" customHeight="1">
      <c r="B26" t="s" s="11">
        <v>25</v>
      </c>
      <c r="C26" s="18">
        <f>C24-C25</f>
        <v>2199.34</v>
      </c>
      <c r="D26" s="19">
        <f>D24-D25</f>
        <v>2196.68</v>
      </c>
      <c r="E26" s="19">
        <f>E24-E25</f>
        <v>2194.02</v>
      </c>
      <c r="F26" s="19">
        <f>F24-F25</f>
        <v>2191.36</v>
      </c>
    </row>
    <row r="27" ht="20.05" customHeight="1">
      <c r="B27" t="s" s="11">
        <v>11</v>
      </c>
      <c r="C27" s="18">
        <f>'Balance Sheet '!G20+C12</f>
        <v>1021.25</v>
      </c>
      <c r="D27" s="19">
        <f>C27+D12</f>
        <v>765.9375</v>
      </c>
      <c r="E27" s="19">
        <f>D27+E12</f>
        <v>574.453125</v>
      </c>
      <c r="F27" s="19">
        <f>E27+F12</f>
        <v>430.83984375</v>
      </c>
    </row>
    <row r="28" ht="20.05" customHeight="1">
      <c r="B28" t="s" s="11">
        <v>12</v>
      </c>
      <c r="C28" s="18">
        <f>C13</f>
        <v>37.1089390115635</v>
      </c>
      <c r="D28" s="19">
        <f>C28+D13</f>
        <v>274.149756803359</v>
      </c>
      <c r="E28" s="19">
        <f>D28+E13</f>
        <v>439.046281374334</v>
      </c>
      <c r="F28" s="19">
        <f>E28+F13</f>
        <v>558.816047708180</v>
      </c>
    </row>
    <row r="29" ht="20.05" customHeight="1">
      <c r="B29" t="s" s="11">
        <v>14</v>
      </c>
      <c r="C29" s="18">
        <f>'Balance Sheet '!H20+C22+C15</f>
        <v>1179.981060988440</v>
      </c>
      <c r="D29" s="19">
        <f>C29+D22+D15</f>
        <v>1195.592743196640</v>
      </c>
      <c r="E29" s="19">
        <f>D29+E22+E15</f>
        <v>1219.520593625670</v>
      </c>
      <c r="F29" s="19">
        <f>E29+F22+F15</f>
        <v>1240.704108541820</v>
      </c>
    </row>
    <row r="30" ht="20.05" customHeight="1">
      <c r="B30" t="s" s="11">
        <v>26</v>
      </c>
      <c r="C30" s="18">
        <f>C27+C28+C29-C19-C26</f>
        <v>3.5e-12</v>
      </c>
      <c r="D30" s="19">
        <f>D27+D28+D29-D19-D26</f>
        <v>-6e-13</v>
      </c>
      <c r="E30" s="19">
        <f>E27+E28+E29-E19-E26</f>
        <v>4.2e-12</v>
      </c>
      <c r="F30" s="19">
        <f>F27+F28+F29-F19-F26</f>
        <v>-3e-13</v>
      </c>
    </row>
    <row r="31" ht="20.05" customHeight="1">
      <c r="B31" t="s" s="11">
        <v>27</v>
      </c>
      <c r="C31" s="18">
        <f>C19-C27-C28</f>
        <v>-1019.358939011560</v>
      </c>
      <c r="D31" s="19">
        <f>D19-D27-D28</f>
        <v>-1001.087256803360</v>
      </c>
      <c r="E31" s="19">
        <f>E19-E27-E28</f>
        <v>-974.4994063743339</v>
      </c>
      <c r="F31" s="19">
        <f>F19-F27-F28</f>
        <v>-950.655891458180</v>
      </c>
    </row>
    <row r="32" ht="20.05" customHeight="1">
      <c r="B32" t="s" s="21">
        <v>28</v>
      </c>
      <c r="C32" s="18"/>
      <c r="D32" s="19"/>
      <c r="E32" s="19"/>
      <c r="F32" s="19"/>
    </row>
    <row r="33" ht="20.05" customHeight="1">
      <c r="B33" t="s" s="11">
        <v>29</v>
      </c>
      <c r="C33" s="18">
        <f>'Cashflow'!N24-C11</f>
        <v>-523.197055730805</v>
      </c>
      <c r="D33" s="19">
        <f>C33-D11</f>
        <v>-498.234652576227</v>
      </c>
      <c r="E33" s="19">
        <f>D33-E11</f>
        <v>-461.392009106191</v>
      </c>
      <c r="F33" s="19">
        <f>E33-F11</f>
        <v>-428.469844940257</v>
      </c>
    </row>
    <row r="34" ht="20.05" customHeight="1">
      <c r="B34" t="s" s="11">
        <v>30</v>
      </c>
      <c r="C34" s="18"/>
      <c r="D34" s="19"/>
      <c r="E34" s="19"/>
      <c r="F34" s="19">
        <v>1893458649600</v>
      </c>
    </row>
    <row r="35" ht="20.05" customHeight="1">
      <c r="B35" t="s" s="11">
        <v>30</v>
      </c>
      <c r="C35" s="18"/>
      <c r="D35" s="19"/>
      <c r="E35" s="19"/>
      <c r="F35" s="19">
        <f>F34/1000000000</f>
        <v>1893.4586496</v>
      </c>
    </row>
    <row r="36" ht="20.05" customHeight="1">
      <c r="B36" t="s" s="11">
        <v>31</v>
      </c>
      <c r="C36" s="18"/>
      <c r="D36" s="19"/>
      <c r="E36" s="19"/>
      <c r="F36" s="23">
        <f>F35/(F19+F26)</f>
        <v>0.848947546405065</v>
      </c>
    </row>
    <row r="37" ht="20.05" customHeight="1">
      <c r="B37" t="s" s="11">
        <v>32</v>
      </c>
      <c r="C37" s="18"/>
      <c r="D37" s="19"/>
      <c r="E37" s="19"/>
      <c r="F37" s="17">
        <f>-(C15+D15+E15+F15)/F35</f>
        <v>0.0169087645640884</v>
      </c>
    </row>
    <row r="38" ht="20.05" customHeight="1">
      <c r="B38" t="s" s="11">
        <v>3</v>
      </c>
      <c r="C38" s="18"/>
      <c r="D38" s="19"/>
      <c r="E38" s="19"/>
      <c r="F38" s="19">
        <f>SUM(C9:F10)</f>
        <v>117.360155059744</v>
      </c>
    </row>
    <row r="39" ht="20.05" customHeight="1">
      <c r="B39" t="s" s="11">
        <v>33</v>
      </c>
      <c r="C39" s="18"/>
      <c r="D39" s="19"/>
      <c r="E39" s="19"/>
      <c r="F39" s="19">
        <f>'Balance Sheet '!E20/F38</f>
        <v>18.7627563961469</v>
      </c>
    </row>
    <row r="40" ht="20.05" customHeight="1">
      <c r="B40" t="s" s="11">
        <v>28</v>
      </c>
      <c r="C40" s="18"/>
      <c r="D40" s="19"/>
      <c r="E40" s="19"/>
      <c r="F40" s="19">
        <f>F35/F38</f>
        <v>16.1337435915631</v>
      </c>
    </row>
    <row r="41" ht="20.05" customHeight="1">
      <c r="B41" t="s" s="11">
        <v>34</v>
      </c>
      <c r="C41" s="18"/>
      <c r="D41" s="19"/>
      <c r="E41" s="19"/>
      <c r="F41" s="19">
        <v>22</v>
      </c>
    </row>
    <row r="42" ht="20.05" customHeight="1">
      <c r="B42" t="s" s="11">
        <v>35</v>
      </c>
      <c r="C42" s="18"/>
      <c r="D42" s="19"/>
      <c r="E42" s="19"/>
      <c r="F42" s="19">
        <f>F38*F41</f>
        <v>2581.923411314370</v>
      </c>
    </row>
    <row r="43" ht="20.05" customHeight="1">
      <c r="B43" t="s" s="11">
        <v>36</v>
      </c>
      <c r="C43" s="18"/>
      <c r="D43" s="19"/>
      <c r="E43" s="19"/>
      <c r="F43" s="19">
        <f>F35/F45</f>
        <v>3.00548992</v>
      </c>
    </row>
    <row r="44" ht="20.05" customHeight="1">
      <c r="B44" t="s" s="11">
        <v>37</v>
      </c>
      <c r="C44" s="18"/>
      <c r="D44" s="19"/>
      <c r="E44" s="19"/>
      <c r="F44" s="19">
        <f>F42/F43</f>
        <v>859.069063626861</v>
      </c>
    </row>
    <row r="45" ht="20.05" customHeight="1">
      <c r="B45" t="s" s="11">
        <v>38</v>
      </c>
      <c r="C45" s="18"/>
      <c r="D45" s="19"/>
      <c r="E45" s="19"/>
      <c r="F45" s="19">
        <v>630</v>
      </c>
    </row>
    <row r="46" ht="20.05" customHeight="1">
      <c r="B46" t="s" s="11">
        <v>39</v>
      </c>
      <c r="C46" s="18"/>
      <c r="D46" s="19"/>
      <c r="E46" s="19"/>
      <c r="F46" s="17">
        <f>F44/F45-1</f>
        <v>0.363601688296605</v>
      </c>
    </row>
    <row r="47" ht="20.05" customHeight="1">
      <c r="B47" t="s" s="11">
        <v>40</v>
      </c>
      <c r="C47" s="18"/>
      <c r="D47" s="19"/>
      <c r="E47" s="19"/>
      <c r="F47" s="17">
        <f>'Sales'!C24/'Sales'!C20-1</f>
        <v>0.194565065135173</v>
      </c>
    </row>
    <row r="48" ht="20.05" customHeight="1">
      <c r="B48" t="s" s="11">
        <v>41</v>
      </c>
      <c r="C48" s="18"/>
      <c r="D48" s="19"/>
      <c r="E48" s="19"/>
      <c r="F48" s="17">
        <f>'Sales'!F27/'Sales'!E27-1</f>
        <v>0.06395036030854589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2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48438" style="24" customWidth="1"/>
    <col min="2" max="2" width="10.9609" style="24" customWidth="1"/>
    <col min="3" max="10" width="9.16406" style="24" customWidth="1"/>
    <col min="11" max="16384" width="16.3516" style="24" customWidth="1"/>
  </cols>
  <sheetData>
    <row r="1" ht="44.0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5">
        <v>42</v>
      </c>
      <c r="C3" t="s" s="5">
        <v>43</v>
      </c>
      <c r="D3" t="s" s="5">
        <v>34</v>
      </c>
      <c r="E3" t="s" s="5">
        <v>24</v>
      </c>
      <c r="F3" t="s" s="5">
        <v>19</v>
      </c>
      <c r="G3" t="s" s="5">
        <v>44</v>
      </c>
      <c r="H3" t="s" s="5">
        <v>45</v>
      </c>
      <c r="I3" t="s" s="5">
        <v>45</v>
      </c>
      <c r="J3" t="s" s="5">
        <v>34</v>
      </c>
    </row>
    <row r="4" ht="20.25" customHeight="1">
      <c r="B4" s="25">
        <v>2017</v>
      </c>
      <c r="C4" s="26">
        <v>678.2</v>
      </c>
      <c r="D4" s="27"/>
      <c r="E4" s="28">
        <v>27.9</v>
      </c>
      <c r="F4" s="28">
        <v>32.7</v>
      </c>
      <c r="G4" s="10"/>
      <c r="H4" s="29">
        <f>(E4+F4-C4)/C4</f>
        <v>-0.9106458271896199</v>
      </c>
      <c r="I4" s="29"/>
      <c r="J4" s="29"/>
    </row>
    <row r="5" ht="20.05" customHeight="1">
      <c r="B5" s="30"/>
      <c r="C5" s="18">
        <v>760</v>
      </c>
      <c r="D5" s="31"/>
      <c r="E5" s="19">
        <v>28.5</v>
      </c>
      <c r="F5" s="19">
        <v>16.8</v>
      </c>
      <c r="G5" s="17">
        <f>C5/C4-1</f>
        <v>0.120613388381009</v>
      </c>
      <c r="H5" s="17">
        <f>(E5+F5-C5)/C5</f>
        <v>-0.940394736842105</v>
      </c>
      <c r="I5" s="17"/>
      <c r="J5" s="17"/>
    </row>
    <row r="6" ht="20.05" customHeight="1">
      <c r="B6" s="30"/>
      <c r="C6" s="18">
        <v>746.4</v>
      </c>
      <c r="D6" s="31"/>
      <c r="E6" s="19">
        <v>29.5</v>
      </c>
      <c r="F6" s="19">
        <v>34.8</v>
      </c>
      <c r="G6" s="17">
        <f>C6/C5-1</f>
        <v>-0.0178947368421053</v>
      </c>
      <c r="H6" s="17">
        <f>(E6+F6-C6)/C6</f>
        <v>-0.9138531618435159</v>
      </c>
      <c r="I6" s="17"/>
      <c r="J6" s="17"/>
    </row>
    <row r="7" ht="20.05" customHeight="1">
      <c r="B7" s="30"/>
      <c r="C7" s="18">
        <v>842.4</v>
      </c>
      <c r="D7" s="31"/>
      <c r="E7" s="19">
        <v>32.1</v>
      </c>
      <c r="F7" s="19">
        <v>57</v>
      </c>
      <c r="G7" s="17">
        <f>C7/C6-1</f>
        <v>0.128617363344051</v>
      </c>
      <c r="H7" s="17">
        <f>(E7+F7-C7)/C7</f>
        <v>-0.8942307692307691</v>
      </c>
      <c r="I7" s="17"/>
      <c r="J7" s="17"/>
    </row>
    <row r="8" ht="20.05" customHeight="1">
      <c r="B8" s="32">
        <v>2018</v>
      </c>
      <c r="C8" s="18">
        <v>802.9</v>
      </c>
      <c r="D8" s="31"/>
      <c r="E8" s="19">
        <v>31.2</v>
      </c>
      <c r="F8" s="19">
        <v>32.7</v>
      </c>
      <c r="G8" s="17">
        <f>C8/C7-1</f>
        <v>-0.0468898385565052</v>
      </c>
      <c r="H8" s="17">
        <f>(E8+F8-C8)/C8</f>
        <v>-0.920413501058662</v>
      </c>
      <c r="I8" s="17">
        <f>AVERAGE(H5:H8)</f>
        <v>-0.9172230422437631</v>
      </c>
      <c r="J8" s="17"/>
    </row>
    <row r="9" ht="20.05" customHeight="1">
      <c r="B9" s="30"/>
      <c r="C9" s="18">
        <v>917.8</v>
      </c>
      <c r="D9" s="31"/>
      <c r="E9" s="19">
        <v>33.7</v>
      </c>
      <c r="F9" s="19">
        <v>49.2</v>
      </c>
      <c r="G9" s="17">
        <f>C9/C8-1</f>
        <v>0.143106239880433</v>
      </c>
      <c r="H9" s="17">
        <f>(E9+F9-C9)/C9</f>
        <v>-0.909675310525169</v>
      </c>
      <c r="I9" s="17">
        <f>AVERAGE(H6:H9)</f>
        <v>-0.909543185664529</v>
      </c>
      <c r="J9" s="17"/>
    </row>
    <row r="10" ht="20.05" customHeight="1">
      <c r="B10" s="30"/>
      <c r="C10" s="18">
        <v>854.3</v>
      </c>
      <c r="D10" s="31"/>
      <c r="E10" s="19">
        <v>35.9</v>
      </c>
      <c r="F10" s="19">
        <v>19.7</v>
      </c>
      <c r="G10" s="17">
        <f>C10/C9-1</f>
        <v>-0.0691871867509261</v>
      </c>
      <c r="H10" s="17">
        <f>(E10+F10-C10)/C10</f>
        <v>-0.934917476296383</v>
      </c>
      <c r="I10" s="17">
        <f>AVERAGE(H7:H10)</f>
        <v>-0.914809264277746</v>
      </c>
      <c r="J10" s="17"/>
    </row>
    <row r="11" ht="20.05" customHeight="1">
      <c r="B11" s="30"/>
      <c r="C11" s="18">
        <v>998.9</v>
      </c>
      <c r="D11" s="31"/>
      <c r="E11" s="19">
        <v>36.5</v>
      </c>
      <c r="F11" s="19">
        <v>71.5</v>
      </c>
      <c r="G11" s="17">
        <f>C11/C10-1</f>
        <v>0.169261383588903</v>
      </c>
      <c r="H11" s="17">
        <f>(E11+F11-C11)/C11</f>
        <v>-0.891881069176094</v>
      </c>
      <c r="I11" s="17">
        <f>AVERAGE(H8:H11)</f>
        <v>-0.914221839264077</v>
      </c>
      <c r="J11" s="17"/>
    </row>
    <row r="12" ht="20.05" customHeight="1">
      <c r="B12" s="32">
        <v>2019</v>
      </c>
      <c r="C12" s="18">
        <v>902.3</v>
      </c>
      <c r="D12" s="31"/>
      <c r="E12" s="19">
        <v>39</v>
      </c>
      <c r="F12" s="19">
        <v>40.2</v>
      </c>
      <c r="G12" s="17">
        <f>C12/C11-1</f>
        <v>-0.0967063770147162</v>
      </c>
      <c r="H12" s="17">
        <f>(E12+F12-C12)/C12</f>
        <v>-0.912224315637814</v>
      </c>
      <c r="I12" s="17">
        <f>AVERAGE(H9:H12)</f>
        <v>-0.912174542908865</v>
      </c>
      <c r="J12" s="17"/>
    </row>
    <row r="13" ht="20.05" customHeight="1">
      <c r="B13" s="30"/>
      <c r="C13" s="18">
        <v>1033.4</v>
      </c>
      <c r="D13" s="31"/>
      <c r="E13" s="19">
        <v>42.7</v>
      </c>
      <c r="F13" s="19">
        <v>59.5</v>
      </c>
      <c r="G13" s="17">
        <f>C13/C12-1</f>
        <v>0.145295356311648</v>
      </c>
      <c r="H13" s="17">
        <f>(E13+F13-C13)/C13</f>
        <v>-0.901103154635185</v>
      </c>
      <c r="I13" s="17">
        <f>AVERAGE(H10:H13)</f>
        <v>-0.910031503936369</v>
      </c>
      <c r="J13" s="17"/>
    </row>
    <row r="14" ht="20.05" customHeight="1">
      <c r="B14" s="30"/>
      <c r="C14" s="18">
        <v>1003.7</v>
      </c>
      <c r="D14" s="31"/>
      <c r="E14" s="19">
        <v>44.8</v>
      </c>
      <c r="F14" s="19">
        <v>49.5</v>
      </c>
      <c r="G14" s="17">
        <f>C14/C13-1</f>
        <v>-0.0287400812850784</v>
      </c>
      <c r="H14" s="17">
        <f>(E14+F14-C14)/C14</f>
        <v>-0.90604762379197</v>
      </c>
      <c r="I14" s="17">
        <f>AVERAGE(H11:H14)</f>
        <v>-0.9028140408102659</v>
      </c>
      <c r="J14" s="17"/>
    </row>
    <row r="15" ht="20.05" customHeight="1">
      <c r="B15" s="30"/>
      <c r="C15" s="18">
        <v>1047.2</v>
      </c>
      <c r="D15" s="31"/>
      <c r="E15" s="19">
        <v>48.9</v>
      </c>
      <c r="F15" s="19">
        <v>50.8</v>
      </c>
      <c r="G15" s="17">
        <f>C15/C14-1</f>
        <v>0.043339643319717</v>
      </c>
      <c r="H15" s="17">
        <f>(E15+F15-C15)/C15</f>
        <v>-0.904793735676089</v>
      </c>
      <c r="I15" s="17">
        <f>AVERAGE(H12:H15)</f>
        <v>-0.906042207435265</v>
      </c>
      <c r="J15" s="17"/>
    </row>
    <row r="16" ht="20.05" customHeight="1">
      <c r="B16" s="32">
        <v>2020</v>
      </c>
      <c r="C16" s="18">
        <v>955.6</v>
      </c>
      <c r="D16" s="31"/>
      <c r="E16" s="19">
        <v>92</v>
      </c>
      <c r="F16" s="19">
        <v>6</v>
      </c>
      <c r="G16" s="17">
        <f>C16/C15-1</f>
        <v>-0.08747135217723449</v>
      </c>
      <c r="H16" s="17">
        <f>(E16+F16-C16)/C16</f>
        <v>-0.897446630389284</v>
      </c>
      <c r="I16" s="17">
        <f>AVERAGE(H13:H16)</f>
        <v>-0.902347786123132</v>
      </c>
      <c r="J16" s="17"/>
    </row>
    <row r="17" ht="20.05" customHeight="1">
      <c r="B17" s="30"/>
      <c r="C17" s="18">
        <v>862.8</v>
      </c>
      <c r="D17" s="31"/>
      <c r="E17" s="19">
        <v>93.5</v>
      </c>
      <c r="F17" s="19">
        <v>4.5</v>
      </c>
      <c r="G17" s="17">
        <f>C17/C16-1</f>
        <v>-0.0971117622436166</v>
      </c>
      <c r="H17" s="17">
        <f>(E17+F17-C17)/C17</f>
        <v>-0.886416318961521</v>
      </c>
      <c r="I17" s="17">
        <f>AVERAGE(H14:H17)</f>
        <v>-0.898676077204716</v>
      </c>
      <c r="J17" s="17"/>
    </row>
    <row r="18" ht="20.05" customHeight="1">
      <c r="B18" s="30"/>
      <c r="C18" s="18">
        <v>847.3</v>
      </c>
      <c r="D18" s="19">
        <v>897.312</v>
      </c>
      <c r="E18" s="19">
        <f>131.4+136.3+(131.8-119.5)-SUM(E16:E17)</f>
        <v>94.5</v>
      </c>
      <c r="F18" s="19">
        <f>-8.6-SUM(F16:F17)</f>
        <v>-19.1</v>
      </c>
      <c r="G18" s="17">
        <f>C18/C17-1</f>
        <v>-0.017964765878535</v>
      </c>
      <c r="H18" s="17">
        <f>(E18+F18-C18)/C18</f>
        <v>-0.911011448129352</v>
      </c>
      <c r="I18" s="17">
        <f>AVERAGE(H15:H18)</f>
        <v>-0.899917033289062</v>
      </c>
      <c r="J18" s="17"/>
    </row>
    <row r="19" ht="20.05" customHeight="1">
      <c r="B19" s="30"/>
      <c r="C19" s="18">
        <v>792.7</v>
      </c>
      <c r="D19" s="19">
        <v>872.7190000000001</v>
      </c>
      <c r="E19" s="19">
        <f>367.7-SUM(E16:E18)</f>
        <v>87.7</v>
      </c>
      <c r="F19" s="19">
        <f>-93.5-SUM(F16:F18)</f>
        <v>-84.90000000000001</v>
      </c>
      <c r="G19" s="17">
        <f>C19/C18-1</f>
        <v>-0.06443998583736581</v>
      </c>
      <c r="H19" s="17">
        <f>(E19+F19-C19)/C19</f>
        <v>-0.996467768386527</v>
      </c>
      <c r="I19" s="17">
        <f>AVERAGE(H16:H19)</f>
        <v>-0.922835541466671</v>
      </c>
      <c r="J19" s="17"/>
    </row>
    <row r="20" ht="20.05" customHeight="1">
      <c r="B20" s="32">
        <v>2021</v>
      </c>
      <c r="C20" s="18">
        <v>713.9</v>
      </c>
      <c r="D20" s="19">
        <v>916.35495</v>
      </c>
      <c r="E20" s="19">
        <v>94.3</v>
      </c>
      <c r="F20" s="19">
        <v>4.9</v>
      </c>
      <c r="G20" s="17">
        <f>C20/C19-1</f>
        <v>-0.0994070896934528</v>
      </c>
      <c r="H20" s="17">
        <f>(E20+F20-C20)/C20</f>
        <v>-0.861044964280712</v>
      </c>
      <c r="I20" s="17">
        <f>AVERAGE(H17:H20)</f>
        <v>-0.913735124939528</v>
      </c>
      <c r="J20" s="17"/>
    </row>
    <row r="21" ht="20.05" customHeight="1">
      <c r="B21" s="30"/>
      <c r="C21" s="18">
        <f>1688.5-C20</f>
        <v>974.6</v>
      </c>
      <c r="D21" s="19">
        <v>806.707</v>
      </c>
      <c r="E21" s="19">
        <f>191-E20</f>
        <v>96.7</v>
      </c>
      <c r="F21" s="19">
        <f>31.5-F20</f>
        <v>26.6</v>
      </c>
      <c r="G21" s="17">
        <f>C21/C20-1</f>
        <v>0.36517719568567</v>
      </c>
      <c r="H21" s="17">
        <f>(E21+F21-C21)/C21</f>
        <v>-0.873486558588139</v>
      </c>
      <c r="I21" s="17">
        <f>AVERAGE(H18:H21)</f>
        <v>-0.910502684846183</v>
      </c>
      <c r="J21" s="17"/>
    </row>
    <row r="22" ht="20.05" customHeight="1">
      <c r="B22" s="30"/>
      <c r="C22" s="33">
        <f>2503.3-SUM(C20:C21)</f>
        <v>814.8</v>
      </c>
      <c r="D22" s="19">
        <v>955.1079999999999</v>
      </c>
      <c r="E22" s="19">
        <f>286.8-SUM(E20:E21)</f>
        <v>95.8</v>
      </c>
      <c r="F22" s="19">
        <f>13.3-SUM(F20:F21)</f>
        <v>-18.2</v>
      </c>
      <c r="G22" s="17">
        <f>C22/C21-1</f>
        <v>-0.163964703468089</v>
      </c>
      <c r="H22" s="17">
        <f>(E22+F22-C22)/C22</f>
        <v>-0.904761904761905</v>
      </c>
      <c r="I22" s="17">
        <f>AVERAGE(H19:H22)</f>
        <v>-0.9089402990043211</v>
      </c>
      <c r="J22" s="17"/>
    </row>
    <row r="23" ht="20.05" customHeight="1">
      <c r="B23" s="30"/>
      <c r="C23" s="18">
        <f>3418.8-SUM(C20:C22)</f>
        <v>915.5</v>
      </c>
      <c r="D23" s="19">
        <v>920.724</v>
      </c>
      <c r="E23" s="19">
        <f>384.9-SUM(E20:E22)</f>
        <v>98.09999999999999</v>
      </c>
      <c r="F23" s="19">
        <f>60.8-SUM(F20:F22)</f>
        <v>47.5</v>
      </c>
      <c r="G23" s="17">
        <f>C23/C22-1</f>
        <v>0.123588610702013</v>
      </c>
      <c r="H23" s="17">
        <f>(E23+F23-C23)/C23</f>
        <v>-0.840961223375205</v>
      </c>
      <c r="I23" s="17">
        <f>AVERAGE(H20:H23)</f>
        <v>-0.8700636627514901</v>
      </c>
      <c r="J23" s="17"/>
    </row>
    <row r="24" ht="20.05" customHeight="1">
      <c r="B24" s="32">
        <v>2022</v>
      </c>
      <c r="C24" s="33">
        <v>852.8</v>
      </c>
      <c r="D24" s="19">
        <v>920.724</v>
      </c>
      <c r="E24" s="19">
        <v>96.5</v>
      </c>
      <c r="F24" s="19">
        <v>2.3</v>
      </c>
      <c r="G24" s="17">
        <f>C24/C23-1</f>
        <v>-0.0684871654833424</v>
      </c>
      <c r="H24" s="17">
        <f>(E24+F24-C24)/C24</f>
        <v>-0.884146341463415</v>
      </c>
      <c r="I24" s="17">
        <f>AVERAGE(H21:H24)</f>
        <v>-0.875839007047166</v>
      </c>
      <c r="J24" s="17">
        <v>-0.9089402990043211</v>
      </c>
    </row>
    <row r="25" ht="20.05" customHeight="1">
      <c r="B25" s="30"/>
      <c r="C25" s="34"/>
      <c r="D25" s="19">
        <f>'Model'!C6</f>
        <v>938.08</v>
      </c>
      <c r="E25" s="19"/>
      <c r="F25" s="19"/>
      <c r="G25" s="13"/>
      <c r="H25" s="22"/>
      <c r="I25" s="22"/>
      <c r="J25" s="17">
        <f>'Model'!C7</f>
        <v>-0.875839007047166</v>
      </c>
    </row>
    <row r="26" ht="20.05" customHeight="1">
      <c r="B26" s="30"/>
      <c r="C26" s="34"/>
      <c r="D26" s="19">
        <f>'Model'!D6</f>
        <v>956.8416</v>
      </c>
      <c r="E26" s="19"/>
      <c r="F26" s="19"/>
      <c r="G26" s="13"/>
      <c r="H26" s="13"/>
      <c r="I26" s="17"/>
      <c r="J26" s="17"/>
    </row>
    <row r="27" ht="20.05" customHeight="1">
      <c r="B27" s="30"/>
      <c r="C27" s="34"/>
      <c r="D27" s="19">
        <f>'Model'!E6</f>
        <v>1052.52576</v>
      </c>
      <c r="E27" s="19">
        <f>SUM(C18:C24)</f>
        <v>5911.6</v>
      </c>
      <c r="F27" s="19">
        <f>SUM(D18:D24)</f>
        <v>6289.64895</v>
      </c>
      <c r="G27" s="13"/>
      <c r="H27" s="13"/>
      <c r="I27" s="17"/>
      <c r="J27" s="17"/>
    </row>
    <row r="28" ht="20.05" customHeight="1">
      <c r="B28" s="32">
        <v>2023</v>
      </c>
      <c r="C28" s="34"/>
      <c r="D28" s="19">
        <f>'Model'!F6</f>
        <v>1020.9499872</v>
      </c>
      <c r="E28" s="19"/>
      <c r="F28" s="19"/>
      <c r="G28" s="13"/>
      <c r="H28" s="13"/>
      <c r="I28" s="17"/>
      <c r="J28" s="17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P2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.39062" style="35" customWidth="1"/>
    <col min="2" max="2" width="9.48438" style="35" customWidth="1"/>
    <col min="3" max="3" width="8.99219" style="35" customWidth="1"/>
    <col min="4" max="4" width="10.5391" style="35" customWidth="1"/>
    <col min="5" max="5" width="7.79688" style="35" customWidth="1"/>
    <col min="6" max="6" width="10.75" style="35" customWidth="1"/>
    <col min="7" max="7" width="8.99219" style="35" customWidth="1"/>
    <col min="8" max="10" width="11.1953" style="35" customWidth="1"/>
    <col min="11" max="16" width="8.99219" style="35" customWidth="1"/>
    <col min="17" max="16384" width="16.3516" style="35" customWidth="1"/>
  </cols>
  <sheetData>
    <row r="1" ht="24.5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2.25" customHeight="1">
      <c r="B3" t="s" s="5">
        <v>42</v>
      </c>
      <c r="C3" t="s" s="5">
        <v>46</v>
      </c>
      <c r="D3" t="s" s="5">
        <v>47</v>
      </c>
      <c r="E3" t="s" s="5">
        <v>48</v>
      </c>
      <c r="F3" t="s" s="5">
        <v>49</v>
      </c>
      <c r="G3" t="s" s="5">
        <v>50</v>
      </c>
      <c r="H3" t="s" s="5">
        <v>11</v>
      </c>
      <c r="I3" t="s" s="5">
        <v>51</v>
      </c>
      <c r="J3" t="s" s="5">
        <v>10</v>
      </c>
      <c r="K3" t="s" s="5">
        <v>52</v>
      </c>
      <c r="L3" t="s" s="5">
        <v>3</v>
      </c>
      <c r="M3" t="s" s="5">
        <v>34</v>
      </c>
      <c r="N3" t="s" s="5">
        <v>29</v>
      </c>
      <c r="O3" t="s" s="5">
        <v>34</v>
      </c>
      <c r="P3" s="6"/>
    </row>
    <row r="4" ht="20.25" customHeight="1">
      <c r="B4" s="25">
        <v>2017</v>
      </c>
      <c r="C4" s="26">
        <v>681.5</v>
      </c>
      <c r="D4" s="28">
        <v>10.15</v>
      </c>
      <c r="E4" s="28">
        <v>-39</v>
      </c>
      <c r="F4" s="28">
        <v>-6.5</v>
      </c>
      <c r="G4" s="28"/>
      <c r="H4" s="28"/>
      <c r="I4" s="28"/>
      <c r="J4" s="28">
        <v>-54</v>
      </c>
      <c r="K4" s="28">
        <f>D4+E4+F4+G4</f>
        <v>-35.35</v>
      </c>
      <c r="L4" s="36"/>
      <c r="M4" s="28"/>
      <c r="N4" s="28">
        <f>-(J4-F4-G4)</f>
        <v>47.5</v>
      </c>
      <c r="O4" s="28"/>
      <c r="P4" s="28">
        <v>1</v>
      </c>
    </row>
    <row r="5" ht="20.05" customHeight="1">
      <c r="B5" s="30"/>
      <c r="C5" s="18">
        <f>1438-C4</f>
        <v>756.5</v>
      </c>
      <c r="D5" s="19">
        <f>77-D4</f>
        <v>66.84999999999999</v>
      </c>
      <c r="E5" s="19">
        <f>-93.8-E4</f>
        <v>-54.8</v>
      </c>
      <c r="F5" s="19">
        <f>-13.7-F4</f>
        <v>-7.2</v>
      </c>
      <c r="G5" s="19"/>
      <c r="H5" s="19"/>
      <c r="I5" s="19"/>
      <c r="J5" s="19">
        <f>32.8-J4</f>
        <v>86.8</v>
      </c>
      <c r="K5" s="19">
        <f>D5+E5+F5+G5</f>
        <v>4.85</v>
      </c>
      <c r="L5" s="37"/>
      <c r="M5" s="19"/>
      <c r="N5" s="19">
        <f>-(J5-F5-G5)+N4</f>
        <v>-46.5</v>
      </c>
      <c r="O5" s="19"/>
      <c r="P5" s="19">
        <f>1+P4</f>
        <v>2</v>
      </c>
    </row>
    <row r="6" ht="20.05" customHeight="1">
      <c r="B6" s="30"/>
      <c r="C6" s="18">
        <f>2186.76-SUM(C4:C5)</f>
        <v>748.76</v>
      </c>
      <c r="D6" s="19">
        <f>101.59-SUM(D4:D5)</f>
        <v>24.59</v>
      </c>
      <c r="E6" s="19">
        <f>-162.82-SUM(E4:E5)</f>
        <v>-69.02</v>
      </c>
      <c r="F6" s="19">
        <f>-22.45-SUM(F4:F5)</f>
        <v>-8.75</v>
      </c>
      <c r="G6" s="19"/>
      <c r="H6" s="19"/>
      <c r="I6" s="19"/>
      <c r="J6" s="19">
        <f>-20.35-SUM(J4:J5)</f>
        <v>-53.15</v>
      </c>
      <c r="K6" s="19">
        <f>D6+E6+F6+G6</f>
        <v>-53.18</v>
      </c>
      <c r="L6" s="37"/>
      <c r="M6" s="19"/>
      <c r="N6" s="19">
        <f>-(J6-F6-G6)+N5</f>
        <v>-2.1</v>
      </c>
      <c r="O6" s="19"/>
      <c r="P6" s="19">
        <f>1+P5</f>
        <v>3</v>
      </c>
    </row>
    <row r="7" ht="20.05" customHeight="1">
      <c r="B7" s="30"/>
      <c r="C7" s="18">
        <f>3024-SUM(C4:C6)</f>
        <v>837.24</v>
      </c>
      <c r="D7" s="19">
        <f>192.86-SUM(D4:D6)</f>
        <v>91.27</v>
      </c>
      <c r="E7" s="19">
        <f>-294.67-SUM(E4:E6)</f>
        <v>-131.85</v>
      </c>
      <c r="F7" s="19">
        <f>-26.85-SUM(F4:F6)</f>
        <v>-4.4</v>
      </c>
      <c r="G7" s="19"/>
      <c r="H7" s="19"/>
      <c r="I7" s="19"/>
      <c r="J7" s="19">
        <f>76.6-SUM(J4:J6)</f>
        <v>96.95</v>
      </c>
      <c r="K7" s="19">
        <f>D7+E7+F7+G7</f>
        <v>-44.98</v>
      </c>
      <c r="L7" s="37"/>
      <c r="M7" s="19"/>
      <c r="N7" s="19">
        <f>-(J7-F7-G7)+N6</f>
        <v>-103.45</v>
      </c>
      <c r="O7" s="19"/>
      <c r="P7" s="19">
        <f>1+P6</f>
        <v>4</v>
      </c>
    </row>
    <row r="8" ht="20.05" customHeight="1">
      <c r="B8" s="32">
        <v>2018</v>
      </c>
      <c r="C8" s="18">
        <v>804.34</v>
      </c>
      <c r="D8" s="19">
        <v>60.1</v>
      </c>
      <c r="E8" s="19">
        <v>-57</v>
      </c>
      <c r="F8" s="19">
        <v>-10.9</v>
      </c>
      <c r="G8" s="19"/>
      <c r="H8" s="19"/>
      <c r="I8" s="19"/>
      <c r="J8" s="19">
        <v>-31.9</v>
      </c>
      <c r="K8" s="19">
        <f>D8+E8+F8+G8</f>
        <v>-7.8</v>
      </c>
      <c r="L8" s="19">
        <f>AVERAGE(K5:K8)</f>
        <v>-25.2775</v>
      </c>
      <c r="M8" s="19"/>
      <c r="N8" s="19">
        <f>-(J8-F8-G8)+N7</f>
        <v>-82.45</v>
      </c>
      <c r="O8" s="19"/>
      <c r="P8" s="19">
        <f>1+P7</f>
        <v>5</v>
      </c>
    </row>
    <row r="9" ht="20.05" customHeight="1">
      <c r="B9" s="30"/>
      <c r="C9" s="18">
        <f>1726.2-C8</f>
        <v>921.86</v>
      </c>
      <c r="D9" s="19">
        <f>62.3-D8</f>
        <v>2.2</v>
      </c>
      <c r="E9" s="19">
        <f>-112.5-E8</f>
        <v>-55.5</v>
      </c>
      <c r="F9" s="19">
        <f>-21.89-F8</f>
        <v>-10.99</v>
      </c>
      <c r="G9" s="19"/>
      <c r="H9" s="19"/>
      <c r="I9" s="19"/>
      <c r="J9" s="19">
        <f>435.85-J8</f>
        <v>467.75</v>
      </c>
      <c r="K9" s="19">
        <f>D9+E9+F9+G9</f>
        <v>-64.29000000000001</v>
      </c>
      <c r="L9" s="19">
        <f>AVERAGE(K6:K9)</f>
        <v>-42.5625</v>
      </c>
      <c r="M9" s="19"/>
      <c r="N9" s="19">
        <f>-(J9-F9-G9)+N8</f>
        <v>-561.1900000000001</v>
      </c>
      <c r="O9" s="19"/>
      <c r="P9" s="19">
        <f>1+P8</f>
        <v>6</v>
      </c>
    </row>
    <row r="10" ht="20.05" customHeight="1">
      <c r="B10" s="30"/>
      <c r="C10" s="18">
        <f>2576.76-SUM(C8:C9)</f>
        <v>850.5599999999999</v>
      </c>
      <c r="D10" s="19">
        <f>125-SUM(D8:D9)</f>
        <v>62.7</v>
      </c>
      <c r="E10" s="19">
        <f>-207.42-SUM(E8:E9)</f>
        <v>-94.92</v>
      </c>
      <c r="F10" s="19">
        <f>-28.47-SUM(F8:F9)</f>
        <v>-6.58</v>
      </c>
      <c r="G10" s="19"/>
      <c r="H10" s="19"/>
      <c r="I10" s="19"/>
      <c r="J10" s="19">
        <f>371-SUM(J8:J9)</f>
        <v>-64.84999999999999</v>
      </c>
      <c r="K10" s="19">
        <f>D10+E10+F10+G10</f>
        <v>-38.8</v>
      </c>
      <c r="L10" s="19">
        <f>AVERAGE(K7:K10)</f>
        <v>-38.9675</v>
      </c>
      <c r="M10" s="19"/>
      <c r="N10" s="19">
        <f>-(J10-F10-G10)+N9</f>
        <v>-502.92</v>
      </c>
      <c r="O10" s="19"/>
      <c r="P10" s="19">
        <f>1+P9</f>
        <v>7</v>
      </c>
    </row>
    <row r="11" ht="20.05" customHeight="1">
      <c r="B11" s="30"/>
      <c r="C11" s="18">
        <f>3574.77-SUM(C8:C10)</f>
        <v>998.01</v>
      </c>
      <c r="D11" s="19">
        <f>279.49-SUM(D8:D10)</f>
        <v>154.49</v>
      </c>
      <c r="E11" s="19">
        <f>-326.22-SUM(E8:E10)</f>
        <v>-118.8</v>
      </c>
      <c r="F11" s="19">
        <f>-31.74-SUM(F8:F10)</f>
        <v>-3.27</v>
      </c>
      <c r="G11" s="19"/>
      <c r="H11" s="19"/>
      <c r="I11" s="19"/>
      <c r="J11" s="19">
        <f>348.44-SUM(J8:J10)</f>
        <v>-22.56</v>
      </c>
      <c r="K11" s="19">
        <f>D11+E11+F11+G11</f>
        <v>32.42</v>
      </c>
      <c r="L11" s="19">
        <f>AVERAGE(K8:K11)</f>
        <v>-19.6175</v>
      </c>
      <c r="M11" s="19"/>
      <c r="N11" s="19">
        <f>-(J11-F11-G11)+N10</f>
        <v>-483.63</v>
      </c>
      <c r="O11" s="19"/>
      <c r="P11" s="19">
        <f>1+P10</f>
        <v>8</v>
      </c>
    </row>
    <row r="12" ht="20.05" customHeight="1">
      <c r="B12" s="32">
        <v>2019</v>
      </c>
      <c r="C12" s="18">
        <v>900.1900000000001</v>
      </c>
      <c r="D12" s="19">
        <v>78.27</v>
      </c>
      <c r="E12" s="19">
        <v>-65.44</v>
      </c>
      <c r="F12" s="19">
        <v>-3.355</v>
      </c>
      <c r="G12" s="19"/>
      <c r="H12" s="19"/>
      <c r="I12" s="19"/>
      <c r="J12" s="19">
        <v>-40.1</v>
      </c>
      <c r="K12" s="19">
        <f>D12+E12+F12+G12</f>
        <v>9.475</v>
      </c>
      <c r="L12" s="19">
        <f>AVERAGE(K9:K12)</f>
        <v>-15.29875</v>
      </c>
      <c r="M12" s="19"/>
      <c r="N12" s="19">
        <f>-(J12-F12-G12)+N11</f>
        <v>-446.885</v>
      </c>
      <c r="O12" s="19"/>
      <c r="P12" s="19">
        <f>1+P11</f>
        <v>9</v>
      </c>
    </row>
    <row r="13" ht="20.05" customHeight="1">
      <c r="B13" s="30"/>
      <c r="C13" s="18">
        <f>1935-C12</f>
        <v>1034.81</v>
      </c>
      <c r="D13" s="19">
        <f>74.44-D12</f>
        <v>-3.83</v>
      </c>
      <c r="E13" s="19">
        <f>-166.83-E12</f>
        <v>-101.39</v>
      </c>
      <c r="F13" s="19">
        <f>-6.087-F12</f>
        <v>-2.732</v>
      </c>
      <c r="G13" s="19"/>
      <c r="H13" s="19"/>
      <c r="I13" s="19"/>
      <c r="J13" s="19">
        <f>-146.176-J12</f>
        <v>-106.076</v>
      </c>
      <c r="K13" s="19">
        <f>D13+E13+F13+G13</f>
        <v>-107.952</v>
      </c>
      <c r="L13" s="19">
        <f>AVERAGE(K10:K13)</f>
        <v>-26.21425</v>
      </c>
      <c r="M13" s="19"/>
      <c r="N13" s="19">
        <f>-(J13-F13-G13)+N12</f>
        <v>-343.541</v>
      </c>
      <c r="O13" s="19"/>
      <c r="P13" s="19">
        <f>1+P12</f>
        <v>10</v>
      </c>
    </row>
    <row r="14" ht="20.05" customHeight="1">
      <c r="B14" s="30"/>
      <c r="C14" s="18">
        <f>2946-SUM(C12:C13)</f>
        <v>1011</v>
      </c>
      <c r="D14" s="19">
        <f>193.7-SUM(D12:D13)</f>
        <v>119.26</v>
      </c>
      <c r="E14" s="19">
        <f>-272.49-SUM(E12:E13)</f>
        <v>-105.66</v>
      </c>
      <c r="F14" s="19">
        <f>-8.373-SUM(F12:F13)</f>
        <v>-2.286</v>
      </c>
      <c r="G14" s="19">
        <f>-5-SUM(G12:G13)</f>
        <v>-5</v>
      </c>
      <c r="H14" s="19"/>
      <c r="I14" s="19"/>
      <c r="J14" s="19">
        <f>-165.3-SUM(J12:J13)</f>
        <v>-19.124</v>
      </c>
      <c r="K14" s="19">
        <f>D14+E14+F14+G14</f>
        <v>6.314</v>
      </c>
      <c r="L14" s="19">
        <f>AVERAGE(K11:K14)</f>
        <v>-14.93575</v>
      </c>
      <c r="M14" s="19"/>
      <c r="N14" s="19">
        <f>-(J14-F14-G14)+N13</f>
        <v>-331.703</v>
      </c>
      <c r="O14" s="19"/>
      <c r="P14" s="19">
        <f>1+P13</f>
        <v>11</v>
      </c>
    </row>
    <row r="15" ht="20.05" customHeight="1">
      <c r="B15" s="30"/>
      <c r="C15" s="18">
        <f>3984-SUM(C12:C14)</f>
        <v>1038</v>
      </c>
      <c r="D15" s="19">
        <f>399.9-SUM(D12:D14)</f>
        <v>206.2</v>
      </c>
      <c r="E15" s="19">
        <f>-428.23-SUM(E12:E14)</f>
        <v>-155.74</v>
      </c>
      <c r="F15" s="19">
        <f>-10.39-SUM(F12:F14)</f>
        <v>-2.017</v>
      </c>
      <c r="G15" s="19">
        <f>-6.8-SUM(G12:G14)</f>
        <v>-1.8</v>
      </c>
      <c r="H15" s="19"/>
      <c r="I15" s="19"/>
      <c r="J15" s="19">
        <f>-185.29-SUM(J12:J14)</f>
        <v>-19.99</v>
      </c>
      <c r="K15" s="19">
        <f>D15+E15+F15+G15</f>
        <v>46.643</v>
      </c>
      <c r="L15" s="19">
        <f>AVERAGE(K12:K15)</f>
        <v>-11.38</v>
      </c>
      <c r="M15" s="19"/>
      <c r="N15" s="19">
        <f>-(J15-F15-G15)+N14</f>
        <v>-315.53</v>
      </c>
      <c r="O15" s="19"/>
      <c r="P15" s="19">
        <f>1+P14</f>
        <v>12</v>
      </c>
    </row>
    <row r="16" ht="20.05" customHeight="1">
      <c r="B16" s="32">
        <v>2020</v>
      </c>
      <c r="C16" s="18">
        <v>964.8</v>
      </c>
      <c r="D16" s="19">
        <v>103.38</v>
      </c>
      <c r="E16" s="19">
        <v>-54.33</v>
      </c>
      <c r="F16" s="19">
        <v>-1.367</v>
      </c>
      <c r="G16" s="19">
        <v>-0.6</v>
      </c>
      <c r="H16" s="19"/>
      <c r="I16" s="19"/>
      <c r="J16" s="19">
        <v>-12.5</v>
      </c>
      <c r="K16" s="19">
        <f>D16+E16+F16+G16</f>
        <v>47.083</v>
      </c>
      <c r="L16" s="19">
        <f>AVERAGE(K13:K16)</f>
        <v>-1.978</v>
      </c>
      <c r="M16" s="19"/>
      <c r="N16" s="19">
        <f>-(J16-F16-G16)+N15</f>
        <v>-304.997</v>
      </c>
      <c r="O16" s="19"/>
      <c r="P16" s="19">
        <f>1+P15</f>
        <v>13</v>
      </c>
    </row>
    <row r="17" ht="20.05" customHeight="1">
      <c r="B17" s="30"/>
      <c r="C17" s="18">
        <f>1828.9-C16</f>
        <v>864.1</v>
      </c>
      <c r="D17" s="19">
        <f>-0.477-D16</f>
        <v>-103.857</v>
      </c>
      <c r="E17" s="19">
        <f>-115.4-E16</f>
        <v>-61.07</v>
      </c>
      <c r="F17" s="19">
        <f>-4.317-F16</f>
        <v>-2.95</v>
      </c>
      <c r="G17" s="19">
        <v>0</v>
      </c>
      <c r="H17" s="19"/>
      <c r="I17" s="19"/>
      <c r="J17" s="19">
        <f>70-J16</f>
        <v>82.5</v>
      </c>
      <c r="K17" s="19">
        <f>D17+E17+F17+G17</f>
        <v>-167.877</v>
      </c>
      <c r="L17" s="19">
        <f>AVERAGE(K14:K17)</f>
        <v>-16.95925</v>
      </c>
      <c r="M17" s="19"/>
      <c r="N17" s="19">
        <f>-(J17-F17-G17)+N16</f>
        <v>-390.447</v>
      </c>
      <c r="O17" s="19"/>
      <c r="P17" s="19">
        <f>1+P16</f>
        <v>14</v>
      </c>
    </row>
    <row r="18" ht="20.05" customHeight="1">
      <c r="B18" s="30"/>
      <c r="C18" s="18">
        <f>2674.6-SUM(C16:C17)</f>
        <v>845.7</v>
      </c>
      <c r="D18" s="19">
        <f>43.2-SUM(D16:D17)</f>
        <v>43.677</v>
      </c>
      <c r="E18" s="19">
        <f>-164.5-SUM(E16:E17)</f>
        <v>-49.1</v>
      </c>
      <c r="F18" s="19">
        <f>-10.1-SUM(F16:F17)</f>
        <v>-5.783</v>
      </c>
      <c r="G18" s="19">
        <f>-0.6-SUM(G16:G17)</f>
        <v>0</v>
      </c>
      <c r="H18" s="37"/>
      <c r="I18" s="37"/>
      <c r="J18" s="37">
        <v>54</v>
      </c>
      <c r="K18" s="19">
        <f>D18+E18+F18+G18</f>
        <v>-11.206</v>
      </c>
      <c r="L18" s="19">
        <f>AVERAGE(K15:K18)</f>
        <v>-21.33925</v>
      </c>
      <c r="M18" s="19"/>
      <c r="N18" s="19">
        <f>-(J18-F18-G18)+N17</f>
        <v>-450.23</v>
      </c>
      <c r="O18" s="19"/>
      <c r="P18" s="19">
        <f>1+P17</f>
        <v>15</v>
      </c>
    </row>
    <row r="19" ht="20.05" customHeight="1">
      <c r="B19" s="30"/>
      <c r="C19" s="18">
        <f>3455.3-SUM(C16:C18)</f>
        <v>780.7</v>
      </c>
      <c r="D19" s="19">
        <f>204.2-SUM(D16:D18)</f>
        <v>161</v>
      </c>
      <c r="E19" s="19">
        <f>-370.1-SUM(E16:E18)</f>
        <v>-205.6</v>
      </c>
      <c r="F19" s="19">
        <f>-14-SUM(F16:F18)</f>
        <v>-3.9</v>
      </c>
      <c r="G19" s="19">
        <f>-0.6-55.1-SUM(G16:G18)</f>
        <v>-55.1</v>
      </c>
      <c r="H19" s="37"/>
      <c r="I19" s="37"/>
      <c r="J19" s="37">
        <v>116</v>
      </c>
      <c r="K19" s="19">
        <f>D19+E19+F19+G19</f>
        <v>-103.6</v>
      </c>
      <c r="L19" s="19">
        <f>AVERAGE(K16:K19)</f>
        <v>-58.9</v>
      </c>
      <c r="M19" s="19"/>
      <c r="N19" s="19">
        <f>-(J19-F19-G19)+N18</f>
        <v>-625.23</v>
      </c>
      <c r="O19" s="19"/>
      <c r="P19" s="19">
        <f>1+P18</f>
        <v>16</v>
      </c>
    </row>
    <row r="20" ht="20.05" customHeight="1">
      <c r="B20" s="32">
        <v>2021</v>
      </c>
      <c r="C20" s="18">
        <v>722.8</v>
      </c>
      <c r="D20" s="19">
        <f>81.8</f>
        <v>81.8</v>
      </c>
      <c r="E20" s="19">
        <v>-44.8</v>
      </c>
      <c r="F20" s="19">
        <v>-6.2</v>
      </c>
      <c r="G20" s="19">
        <v>-16.9</v>
      </c>
      <c r="H20" s="19">
        <f>-42.948-G20</f>
        <v>-26.048</v>
      </c>
      <c r="I20" s="19"/>
      <c r="J20" s="19">
        <v>-42.9</v>
      </c>
      <c r="K20" s="19">
        <f>D20+E20+F20+G20</f>
        <v>13.9</v>
      </c>
      <c r="L20" s="19">
        <f>AVERAGE(K17:K20)</f>
        <v>-67.19575</v>
      </c>
      <c r="M20" s="19"/>
      <c r="N20" s="19">
        <f>-(J20-F20-G20)+N19</f>
        <v>-605.4299999999999</v>
      </c>
      <c r="O20" s="19"/>
      <c r="P20" s="19">
        <f>1+P19</f>
        <v>17</v>
      </c>
    </row>
    <row r="21" ht="20.05" customHeight="1">
      <c r="B21" s="30"/>
      <c r="C21" s="18">
        <f>1697-C20</f>
        <v>974.2</v>
      </c>
      <c r="D21" s="19">
        <f>294-D20</f>
        <v>212.2</v>
      </c>
      <c r="E21" s="19">
        <f>-115.6-E20</f>
        <v>-70.8</v>
      </c>
      <c r="F21" s="19">
        <f>-11.7-F20</f>
        <v>-5.5</v>
      </c>
      <c r="G21" s="19">
        <f>0-G20</f>
        <v>16.9</v>
      </c>
      <c r="H21" s="19">
        <f>-205.962-G21-G20-H20-I21</f>
        <v>-113.915</v>
      </c>
      <c r="I21" s="19">
        <v>-65.999</v>
      </c>
      <c r="J21" s="19">
        <f>-206-J20</f>
        <v>-163.1</v>
      </c>
      <c r="K21" s="19">
        <f>D21+E21+F21+G21</f>
        <v>152.8</v>
      </c>
      <c r="L21" s="19">
        <f>AVERAGE(K18:K21)</f>
        <v>12.9735</v>
      </c>
      <c r="M21" s="19"/>
      <c r="N21" s="19">
        <f>-(J21-F21-G21)+N20</f>
        <v>-430.93</v>
      </c>
      <c r="O21" s="19"/>
      <c r="P21" s="19">
        <f>1+P20</f>
        <v>18</v>
      </c>
    </row>
    <row r="22" ht="20.05" customHeight="1">
      <c r="B22" s="30"/>
      <c r="C22" s="18">
        <f>2513.7-SUM(C20:C21)</f>
        <v>816.7</v>
      </c>
      <c r="D22" s="19">
        <f>258.8-SUM(D20:D21)</f>
        <v>-35.2</v>
      </c>
      <c r="E22" s="19">
        <f>-194.4-SUM(E20:E21)</f>
        <v>-78.8</v>
      </c>
      <c r="F22" s="19">
        <f>-14.7-SUM(F20:F21)</f>
        <v>-3</v>
      </c>
      <c r="G22" s="19">
        <f>0-SUM(G20:G21)</f>
        <v>0</v>
      </c>
      <c r="H22" s="19">
        <f>-89.063-G22-I22-G21-G20-H21-H20-I21</f>
        <v>116.899</v>
      </c>
      <c r="I22" s="19">
        <f>-65.999-I21</f>
        <v>0</v>
      </c>
      <c r="J22" s="19">
        <f>-89.1-SUM(J20:J21)</f>
        <v>116.9</v>
      </c>
      <c r="K22" s="19">
        <f>D22+E22+F22+G22</f>
        <v>-117</v>
      </c>
      <c r="L22" s="19">
        <f>AVERAGE(K19:K22)</f>
        <v>-13.475</v>
      </c>
      <c r="M22" s="19"/>
      <c r="N22" s="19">
        <f>-(J22-F22-G22)+N21</f>
        <v>-550.83</v>
      </c>
      <c r="O22" s="19"/>
      <c r="P22" s="19">
        <f>1+P21</f>
        <v>19</v>
      </c>
    </row>
    <row r="23" ht="20.05" customHeight="1">
      <c r="B23" s="30"/>
      <c r="C23" s="18">
        <f>3414.2-SUM(C20:C22)</f>
        <v>900.5</v>
      </c>
      <c r="D23" s="19">
        <f>468.5-SUM(D20:D22)</f>
        <v>209.7</v>
      </c>
      <c r="E23" s="19">
        <f>-288.4-SUM(E20:E22)</f>
        <v>-94</v>
      </c>
      <c r="F23" s="19">
        <f>-24.1-SUM(F20:F22)</f>
        <v>-9.4</v>
      </c>
      <c r="G23" s="19">
        <f>-59.6-SUM(G20:G22)</f>
        <v>-59.6</v>
      </c>
      <c r="H23" s="19">
        <f>J23-I23-F23-G23</f>
        <v>15.901</v>
      </c>
      <c r="I23" s="19">
        <f>-66-SUM(I20:I22)</f>
        <v>-0.001</v>
      </c>
      <c r="J23" s="19">
        <f>-142.2-SUM(J20:J22)</f>
        <v>-53.1</v>
      </c>
      <c r="K23" s="19">
        <f>D23+E23+F23+G23</f>
        <v>46.7</v>
      </c>
      <c r="L23" s="19">
        <f>AVERAGE(K20:K23)</f>
        <v>24.1</v>
      </c>
      <c r="M23" s="19"/>
      <c r="N23" s="19">
        <f>-(J23-F23-G23)+N22</f>
        <v>-566.73</v>
      </c>
      <c r="O23" s="19"/>
      <c r="P23" s="19">
        <f>1+P22</f>
        <v>20</v>
      </c>
    </row>
    <row r="24" ht="20.05" customHeight="1">
      <c r="B24" s="32">
        <v>2022</v>
      </c>
      <c r="C24" s="18">
        <v>863.2</v>
      </c>
      <c r="D24" s="19">
        <v>148.6</v>
      </c>
      <c r="E24" s="19">
        <v>-180.8</v>
      </c>
      <c r="F24" s="19">
        <v>-6.2</v>
      </c>
      <c r="G24" s="19">
        <v>0</v>
      </c>
      <c r="H24" s="19">
        <f>J24-I24-F24-G24</f>
        <v>-20.9</v>
      </c>
      <c r="I24" s="19">
        <v>0</v>
      </c>
      <c r="J24" s="19">
        <v>-27.1</v>
      </c>
      <c r="K24" s="19">
        <f>D24+E24+F24+G24</f>
        <v>-38.4</v>
      </c>
      <c r="L24" s="19">
        <f>AVERAGE(K21:K24)</f>
        <v>11.025</v>
      </c>
      <c r="M24" s="19">
        <v>58.614466918744</v>
      </c>
      <c r="N24" s="19">
        <f>-(J24-F24-G24)+N23</f>
        <v>-545.83</v>
      </c>
      <c r="O24" s="19">
        <v>-351.941608895509</v>
      </c>
      <c r="P24" s="19">
        <f>1+P23</f>
        <v>21</v>
      </c>
    </row>
    <row r="25" ht="20.05" customHeight="1">
      <c r="B25" s="30"/>
      <c r="C25" s="18"/>
      <c r="D25" s="19"/>
      <c r="E25" s="19"/>
      <c r="F25" s="19"/>
      <c r="G25" s="19"/>
      <c r="H25" s="19"/>
      <c r="I25" s="19"/>
      <c r="J25" s="19"/>
      <c r="K25" s="19"/>
      <c r="L25" s="22"/>
      <c r="M25" s="19">
        <f>SUM('Model'!F9:F10)</f>
        <v>32.922164165935</v>
      </c>
      <c r="N25" s="22"/>
      <c r="O25" s="19">
        <f>'Model'!F33</f>
        <v>-428.469844940257</v>
      </c>
      <c r="P25" s="19"/>
    </row>
  </sheetData>
  <mergeCells count="1">
    <mergeCell ref="B2:P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21875" style="38" customWidth="1"/>
    <col min="2" max="2" width="7.625" style="38" customWidth="1"/>
    <col min="3" max="11" width="8.95312" style="38" customWidth="1"/>
    <col min="12" max="16384" width="16.3516" style="38" customWidth="1"/>
  </cols>
  <sheetData>
    <row r="1" ht="33.6" customHeight="1"/>
    <row r="2" ht="27.65" customHeight="1">
      <c r="B2" t="s" s="2">
        <v>22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53</v>
      </c>
      <c r="D3" t="s" s="5">
        <v>54</v>
      </c>
      <c r="E3" t="s" s="5">
        <v>23</v>
      </c>
      <c r="F3" t="s" s="5">
        <v>24</v>
      </c>
      <c r="G3" t="s" s="5">
        <v>11</v>
      </c>
      <c r="H3" t="s" s="5">
        <v>51</v>
      </c>
      <c r="I3" t="s" s="5">
        <v>55</v>
      </c>
      <c r="J3" t="s" s="5">
        <v>27</v>
      </c>
      <c r="K3" t="s" s="5">
        <v>34</v>
      </c>
    </row>
    <row r="4" ht="20.25" customHeight="1">
      <c r="B4" s="25">
        <v>2018</v>
      </c>
      <c r="C4" s="26">
        <v>60</v>
      </c>
      <c r="D4" s="28">
        <v>1516</v>
      </c>
      <c r="E4" s="28">
        <f>D4-C4</f>
        <v>1456</v>
      </c>
      <c r="F4" s="28">
        <f>711+92</f>
        <v>803</v>
      </c>
      <c r="G4" s="28">
        <v>1120</v>
      </c>
      <c r="H4" s="28">
        <v>396</v>
      </c>
      <c r="I4" s="28">
        <f>G4+H4-C4-E4</f>
        <v>0</v>
      </c>
      <c r="J4" s="28">
        <f>C4-G4</f>
        <v>-1060</v>
      </c>
      <c r="K4" s="27"/>
    </row>
    <row r="5" ht="20.05" customHeight="1">
      <c r="B5" s="30"/>
      <c r="C5" s="18">
        <v>471</v>
      </c>
      <c r="D5" s="19">
        <v>2012</v>
      </c>
      <c r="E5" s="19">
        <f>D5-C5</f>
        <v>1541</v>
      </c>
      <c r="F5" s="19">
        <f>734+89</f>
        <v>823</v>
      </c>
      <c r="G5" s="19">
        <v>899</v>
      </c>
      <c r="H5" s="19">
        <v>1113</v>
      </c>
      <c r="I5" s="19">
        <f>G5+H5-C5-E5</f>
        <v>0</v>
      </c>
      <c r="J5" s="19">
        <f>C5-G5</f>
        <v>-428</v>
      </c>
      <c r="K5" s="31"/>
    </row>
    <row r="6" ht="20.05" customHeight="1">
      <c r="B6" s="30"/>
      <c r="C6" s="18">
        <v>379</v>
      </c>
      <c r="D6" s="19">
        <v>1970</v>
      </c>
      <c r="E6" s="19">
        <f>D6-C6</f>
        <v>1591</v>
      </c>
      <c r="F6" s="19">
        <f>764+99</f>
        <v>863</v>
      </c>
      <c r="G6" s="19">
        <v>829</v>
      </c>
      <c r="H6" s="19">
        <v>1141</v>
      </c>
      <c r="I6" s="19">
        <f>G6+H6-C6-E6</f>
        <v>0</v>
      </c>
      <c r="J6" s="19">
        <f>C6-G6</f>
        <v>-450</v>
      </c>
      <c r="K6" s="31"/>
    </row>
    <row r="7" ht="20.05" customHeight="1">
      <c r="B7" s="30"/>
      <c r="C7" s="18">
        <v>324</v>
      </c>
      <c r="D7" s="19">
        <v>2030</v>
      </c>
      <c r="E7" s="19">
        <f>D7-C7</f>
        <v>1706</v>
      </c>
      <c r="F7" s="19">
        <f>786+103</f>
        <v>889</v>
      </c>
      <c r="G7" s="19">
        <v>818</v>
      </c>
      <c r="H7" s="19">
        <v>1212</v>
      </c>
      <c r="I7" s="19">
        <f>G7+H7-C7-E7</f>
        <v>0</v>
      </c>
      <c r="J7" s="19">
        <f>C7-G7</f>
        <v>-494</v>
      </c>
      <c r="K7" s="31"/>
    </row>
    <row r="8" ht="20.05" customHeight="1">
      <c r="B8" s="32">
        <v>2019</v>
      </c>
      <c r="C8" s="18">
        <v>297</v>
      </c>
      <c r="D8" s="19">
        <v>1994</v>
      </c>
      <c r="E8" s="19">
        <f>D8-C8</f>
        <v>1697</v>
      </c>
      <c r="F8" s="19">
        <f>819+106</f>
        <v>925</v>
      </c>
      <c r="G8" s="19">
        <v>731</v>
      </c>
      <c r="H8" s="19">
        <v>1263</v>
      </c>
      <c r="I8" s="19">
        <f>G8+H8-C8-E8</f>
        <v>0</v>
      </c>
      <c r="J8" s="19">
        <f>C8-G8</f>
        <v>-434</v>
      </c>
      <c r="K8" s="31"/>
    </row>
    <row r="9" ht="20.05" customHeight="1">
      <c r="B9" s="30"/>
      <c r="C9" s="18">
        <v>85</v>
      </c>
      <c r="D9" s="19">
        <v>1951</v>
      </c>
      <c r="E9" s="19">
        <f>D9-C9</f>
        <v>1866</v>
      </c>
      <c r="F9" s="19">
        <f>848+111</f>
        <v>959</v>
      </c>
      <c r="G9" s="19">
        <v>713</v>
      </c>
      <c r="H9" s="19">
        <v>1238</v>
      </c>
      <c r="I9" s="19">
        <f>G9+H9-C9-E9</f>
        <v>0</v>
      </c>
      <c r="J9" s="19">
        <f>C9-G9</f>
        <v>-628</v>
      </c>
      <c r="K9" s="31"/>
    </row>
    <row r="10" ht="20.05" customHeight="1">
      <c r="B10" s="30"/>
      <c r="C10" s="18">
        <v>80</v>
      </c>
      <c r="D10" s="19">
        <v>1975</v>
      </c>
      <c r="E10" s="19">
        <f>D10-C10</f>
        <v>1895</v>
      </c>
      <c r="F10" s="19">
        <f>886+114</f>
        <v>1000</v>
      </c>
      <c r="G10" s="19">
        <v>689</v>
      </c>
      <c r="H10" s="19">
        <v>1286</v>
      </c>
      <c r="I10" s="19">
        <f>G10+H10-C10-E10</f>
        <v>0</v>
      </c>
      <c r="J10" s="19">
        <f>C10-G10</f>
        <v>-609</v>
      </c>
      <c r="K10" s="31"/>
    </row>
    <row r="11" ht="20.05" customHeight="1">
      <c r="B11" s="30"/>
      <c r="C11" s="18">
        <v>110</v>
      </c>
      <c r="D11" s="19">
        <v>2109</v>
      </c>
      <c r="E11" s="19">
        <f>D11-C11</f>
        <v>1999</v>
      </c>
      <c r="F11" s="19">
        <f>913+119</f>
        <v>1032</v>
      </c>
      <c r="G11" s="19">
        <v>769</v>
      </c>
      <c r="H11" s="19">
        <v>1340</v>
      </c>
      <c r="I11" s="19">
        <f>G11+H11-C11-E11</f>
        <v>0</v>
      </c>
      <c r="J11" s="19">
        <f>C11-G11</f>
        <v>-659</v>
      </c>
      <c r="K11" s="31"/>
    </row>
    <row r="12" ht="20.05" customHeight="1">
      <c r="B12" s="32">
        <v>2020</v>
      </c>
      <c r="C12" s="18">
        <v>216</v>
      </c>
      <c r="D12" s="19">
        <v>2367</v>
      </c>
      <c r="E12" s="19">
        <f>D12-C12</f>
        <v>2151</v>
      </c>
      <c r="F12" s="19">
        <f>951+124+39</f>
        <v>1114</v>
      </c>
      <c r="G12" s="19">
        <v>1019</v>
      </c>
      <c r="H12" s="19">
        <v>1348</v>
      </c>
      <c r="I12" s="19">
        <f>G12+H12-C12-E12</f>
        <v>0</v>
      </c>
      <c r="J12" s="19">
        <f>C12-G12</f>
        <v>-803</v>
      </c>
      <c r="K12" s="31"/>
    </row>
    <row r="13" ht="20.05" customHeight="1">
      <c r="B13" s="30"/>
      <c r="C13" s="18">
        <v>65</v>
      </c>
      <c r="D13" s="19">
        <v>2362</v>
      </c>
      <c r="E13" s="19">
        <f>D13-C13</f>
        <v>2297</v>
      </c>
      <c r="F13" s="19">
        <f>991+80+128</f>
        <v>1199</v>
      </c>
      <c r="G13" s="19">
        <v>1107</v>
      </c>
      <c r="H13" s="19">
        <v>1255</v>
      </c>
      <c r="I13" s="19">
        <f>G13+H13-C13-E13</f>
        <v>0</v>
      </c>
      <c r="J13" s="19">
        <f>C13-G13</f>
        <v>-1042</v>
      </c>
      <c r="K13" s="31"/>
    </row>
    <row r="14" ht="20.05" customHeight="1">
      <c r="B14" s="30"/>
      <c r="C14" s="18">
        <v>44</v>
      </c>
      <c r="D14" s="19">
        <v>2249</v>
      </c>
      <c r="E14" s="19">
        <f>D14-C14</f>
        <v>2205</v>
      </c>
      <c r="F14" s="19">
        <f>121+132+1026</f>
        <v>1279</v>
      </c>
      <c r="G14" s="19">
        <v>1017</v>
      </c>
      <c r="H14" s="19">
        <v>1232</v>
      </c>
      <c r="I14" s="19">
        <f>G14+H14-C14-E14</f>
        <v>0</v>
      </c>
      <c r="J14" s="19">
        <f>C14-G14</f>
        <v>-973</v>
      </c>
      <c r="K14" s="31"/>
    </row>
    <row r="15" ht="20.05" customHeight="1">
      <c r="B15" s="30"/>
      <c r="C15" s="34">
        <v>61</v>
      </c>
      <c r="D15" s="19">
        <v>2231</v>
      </c>
      <c r="E15" s="19">
        <f>D15-C15</f>
        <v>2170</v>
      </c>
      <c r="F15" s="19">
        <f>161+1053+136</f>
        <v>1350</v>
      </c>
      <c r="G15" s="19">
        <v>1081</v>
      </c>
      <c r="H15" s="19">
        <v>1150</v>
      </c>
      <c r="I15" s="19">
        <f>G15+H15-C15-E15</f>
        <v>0</v>
      </c>
      <c r="J15" s="19">
        <f>C15-G15</f>
        <v>-1020</v>
      </c>
      <c r="K15" s="31"/>
    </row>
    <row r="16" ht="20.05" customHeight="1">
      <c r="B16" s="32">
        <v>2021</v>
      </c>
      <c r="C16" s="34">
        <v>55</v>
      </c>
      <c r="D16" s="19">
        <v>2124</v>
      </c>
      <c r="E16" s="19">
        <f>D16-C16</f>
        <v>2069</v>
      </c>
      <c r="F16" s="19">
        <f>202+1088+140</f>
        <v>1430</v>
      </c>
      <c r="G16" s="19">
        <v>954</v>
      </c>
      <c r="H16" s="19">
        <v>1170</v>
      </c>
      <c r="I16" s="19">
        <f>G16+H16-C16-E16</f>
        <v>0</v>
      </c>
      <c r="J16" s="19">
        <f>C16-G16</f>
        <v>-899</v>
      </c>
      <c r="K16" s="19"/>
    </row>
    <row r="17" ht="20.05" customHeight="1">
      <c r="B17" s="30"/>
      <c r="C17" s="34">
        <v>33</v>
      </c>
      <c r="D17" s="19">
        <v>2076</v>
      </c>
      <c r="E17" s="19">
        <f>D17-C17</f>
        <v>2043</v>
      </c>
      <c r="F17" s="19">
        <f>242+1112+145</f>
        <v>1499</v>
      </c>
      <c r="G17" s="19">
        <v>953</v>
      </c>
      <c r="H17" s="19">
        <v>1123</v>
      </c>
      <c r="I17" s="19">
        <f>G17+H17-C17-E17</f>
        <v>0</v>
      </c>
      <c r="J17" s="19">
        <f>C17-G17</f>
        <v>-920</v>
      </c>
      <c r="K17" s="31"/>
    </row>
    <row r="18" ht="20.05" customHeight="1">
      <c r="B18" s="30"/>
      <c r="C18" s="34">
        <v>36</v>
      </c>
      <c r="D18" s="19">
        <v>2116</v>
      </c>
      <c r="E18" s="19">
        <f>D18-C18</f>
        <v>2080</v>
      </c>
      <c r="F18" s="19">
        <f>279+1148+148</f>
        <v>1575</v>
      </c>
      <c r="G18" s="19">
        <v>1012</v>
      </c>
      <c r="H18" s="19">
        <v>1104</v>
      </c>
      <c r="I18" s="19">
        <f>G18+H18-C18-E18</f>
        <v>0</v>
      </c>
      <c r="J18" s="19">
        <f>C18-G18</f>
        <v>-976</v>
      </c>
      <c r="K18" s="31"/>
    </row>
    <row r="19" ht="20.05" customHeight="1">
      <c r="B19" s="30"/>
      <c r="C19" s="34">
        <v>99</v>
      </c>
      <c r="D19" s="19">
        <v>2216</v>
      </c>
      <c r="E19" s="19">
        <f>D19-C19</f>
        <v>2117</v>
      </c>
      <c r="F19" s="19">
        <f>1191+284+152</f>
        <v>1627</v>
      </c>
      <c r="G19" s="19">
        <v>1050</v>
      </c>
      <c r="H19" s="19">
        <v>1166</v>
      </c>
      <c r="I19" s="19">
        <f>G19+H19-C19-E19</f>
        <v>0</v>
      </c>
      <c r="J19" s="19">
        <f>C19-G19</f>
        <v>-951</v>
      </c>
      <c r="K19" s="31"/>
    </row>
    <row r="20" ht="20.05" customHeight="1">
      <c r="B20" s="32">
        <v>2022</v>
      </c>
      <c r="C20" s="34">
        <v>39</v>
      </c>
      <c r="D20" s="19">
        <v>2241</v>
      </c>
      <c r="E20" s="19">
        <f>D20-C20</f>
        <v>2202</v>
      </c>
      <c r="F20" s="19">
        <f>320+1221+156</f>
        <v>1697</v>
      </c>
      <c r="G20" s="19">
        <v>1075</v>
      </c>
      <c r="H20" s="19">
        <v>1166</v>
      </c>
      <c r="I20" s="19">
        <f>G20+H20-C20-E20</f>
        <v>0</v>
      </c>
      <c r="J20" s="19">
        <f>C20-G20</f>
        <v>-1036</v>
      </c>
      <c r="K20" s="19">
        <v>-799.578126226857</v>
      </c>
    </row>
    <row r="21" ht="20.05" customHeight="1">
      <c r="B21" s="30"/>
      <c r="C21" s="34"/>
      <c r="D21" s="19"/>
      <c r="E21" s="19"/>
      <c r="F21" s="19"/>
      <c r="G21" s="19"/>
      <c r="H21" s="19"/>
      <c r="I21" s="19"/>
      <c r="J21" s="19"/>
      <c r="K21" s="19">
        <f>'Model'!F31</f>
        <v>-950.655891458180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2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9.24219" style="39" customWidth="1"/>
    <col min="2" max="2" width="7.60938" style="39" customWidth="1"/>
    <col min="3" max="4" width="8.85156" style="39" customWidth="1"/>
    <col min="5" max="16384" width="16.3516" style="39" customWidth="1"/>
  </cols>
  <sheetData>
    <row r="1" ht="40.5" customHeight="1"/>
    <row r="2" ht="27.65" customHeight="1">
      <c r="B2" t="s" s="2">
        <v>56</v>
      </c>
      <c r="C2" s="2"/>
      <c r="D2" s="2"/>
    </row>
    <row r="3" ht="20.05" customHeight="1">
      <c r="B3" s="40"/>
      <c r="C3" t="s" s="41">
        <v>57</v>
      </c>
      <c r="D3" t="s" s="42">
        <v>37</v>
      </c>
    </row>
    <row r="4" ht="20.05" customHeight="1">
      <c r="B4" s="43">
        <v>2018</v>
      </c>
      <c r="C4" s="44"/>
      <c r="D4" s="45"/>
    </row>
    <row r="5" ht="20.05" customHeight="1">
      <c r="B5" s="46"/>
      <c r="C5" s="47">
        <v>1145</v>
      </c>
      <c r="D5" s="45"/>
    </row>
    <row r="6" ht="20.05" customHeight="1">
      <c r="B6" s="46"/>
      <c r="C6" s="48">
        <v>1045</v>
      </c>
      <c r="D6" s="45"/>
    </row>
    <row r="7" ht="20.05" customHeight="1">
      <c r="B7" s="46"/>
      <c r="C7" s="49">
        <v>880</v>
      </c>
      <c r="D7" s="45"/>
    </row>
    <row r="8" ht="20.05" customHeight="1">
      <c r="B8" s="50">
        <v>2019</v>
      </c>
      <c r="C8" s="48">
        <v>1220</v>
      </c>
      <c r="D8" s="45"/>
    </row>
    <row r="9" ht="20.05" customHeight="1">
      <c r="B9" s="46"/>
      <c r="C9" s="48">
        <v>1090</v>
      </c>
      <c r="D9" s="45"/>
    </row>
    <row r="10" ht="20.05" customHeight="1">
      <c r="B10" s="46"/>
      <c r="C10" s="48">
        <v>1095</v>
      </c>
      <c r="D10" s="45"/>
    </row>
    <row r="11" ht="20.05" customHeight="1">
      <c r="B11" s="46"/>
      <c r="C11" s="48">
        <v>1110</v>
      </c>
      <c r="D11" s="45"/>
    </row>
    <row r="12" ht="20.05" customHeight="1">
      <c r="B12" s="50">
        <v>2020</v>
      </c>
      <c r="C12" s="49">
        <v>585</v>
      </c>
      <c r="D12" s="51"/>
    </row>
    <row r="13" ht="20.05" customHeight="1">
      <c r="B13" s="46"/>
      <c r="C13" s="49">
        <v>790</v>
      </c>
      <c r="D13" s="51"/>
    </row>
    <row r="14" ht="20.05" customHeight="1">
      <c r="B14" s="52"/>
      <c r="C14" s="53">
        <v>575</v>
      </c>
      <c r="D14" s="54"/>
    </row>
    <row r="15" ht="20.05" customHeight="1">
      <c r="B15" s="55"/>
      <c r="C15" s="53">
        <v>820</v>
      </c>
      <c r="D15" s="22"/>
    </row>
    <row r="16" ht="20.05" customHeight="1">
      <c r="B16" s="56">
        <v>2021</v>
      </c>
      <c r="C16" s="57">
        <v>775.934448</v>
      </c>
      <c r="D16" s="22"/>
    </row>
    <row r="17" ht="20.05" customHeight="1">
      <c r="B17" s="55"/>
      <c r="C17" s="57">
        <v>680</v>
      </c>
      <c r="D17" s="22"/>
    </row>
    <row r="18" ht="20.05" customHeight="1">
      <c r="B18" s="55"/>
      <c r="C18" s="57">
        <v>670</v>
      </c>
      <c r="D18" s="22"/>
    </row>
    <row r="19" ht="20.05" customHeight="1">
      <c r="B19" s="55"/>
      <c r="C19" s="57">
        <v>680</v>
      </c>
      <c r="D19" s="22"/>
    </row>
    <row r="20" ht="20.05" customHeight="1">
      <c r="B20" s="56">
        <v>2022</v>
      </c>
      <c r="C20" s="57">
        <v>605</v>
      </c>
      <c r="D20" s="31">
        <v>992.510062456849</v>
      </c>
    </row>
    <row r="21" ht="20.05" customHeight="1">
      <c r="B21" s="55"/>
      <c r="C21" s="57">
        <v>630</v>
      </c>
      <c r="D21" s="31">
        <v>912.819473500458</v>
      </c>
    </row>
    <row r="22" ht="20.05" customHeight="1">
      <c r="B22" s="55"/>
      <c r="C22" s="57"/>
      <c r="D22" s="31">
        <f>'Model'!F44</f>
        <v>859.069063626861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