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<sst xmlns="http://schemas.openxmlformats.org/spreadsheetml/2006/main" uniqueCount="63">
  <si>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</si>
  <si>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</si>
  <si>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</si>
  <si>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 xml:space="preserve">Cashflow </t>
  </si>
  <si>
    <t xml:space="preserve">Growth </t>
  </si>
  <si>
    <t xml:space="preserve">Sales </t>
  </si>
  <si>
    <t xml:space="preserve">Costs ratio </t>
  </si>
  <si>
    <t xml:space="preserve">Cash costs 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</si>
  <si>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</si>
  <si>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</si>
  <si>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</si>
  <si>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</si>
  <si>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</si>
  <si>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</si>
  <si>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</si>
  <si>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</si>
  <si>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</si>
  <si>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</si>
  <si>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>Ending</t>
  </si>
  <si>
    <t>Profit</t>
  </si>
  <si>
    <t xml:space="preserve">Non cash costs </t>
  </si>
  <si>
    <t>Net profit</t>
  </si>
  <si>
    <t>Balance sheet</t>
  </si>
  <si>
    <t xml:space="preserve">Other assets 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</si>
  <si>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</si>
  <si>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</si>
  <si>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</si>
  <si>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</si>
  <si>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</si>
  <si>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</si>
  <si>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</si>
  <si>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</si>
  <si>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</si>
  <si>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</si>
  <si>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</si>
  <si>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>Value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</si>
  <si>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</si>
  <si>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</si>
  <si>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</si>
  <si>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</si>
  <si>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</si>
  <si>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</si>
  <si>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Sales</t>
  </si>
  <si>
    <t>FX</t>
  </si>
  <si>
    <t xml:space="preserve">Derivatives </t>
  </si>
  <si>
    <t xml:space="preserve">Profit </t>
  </si>
  <si>
    <t xml:space="preserve">Sales growth </t>
  </si>
  <si>
    <t xml:space="preserve">Cost ratio </t>
  </si>
  <si>
    <t>Cashflow</t>
  </si>
  <si>
    <t xml:space="preserve">Receipts </t>
  </si>
  <si>
    <t xml:space="preserve">Operating </t>
  </si>
  <si>
    <t xml:space="preserve">Investment </t>
  </si>
  <si>
    <t xml:space="preserve">Free cashflow </t>
  </si>
  <si>
    <t>Capotal</t>
  </si>
  <si>
    <t>Asset</t>
  </si>
  <si>
    <t xml:space="preserve">  Cash</t>
  </si>
  <si>
    <t>Assets</t>
  </si>
  <si>
    <t>Other asset</t>
  </si>
  <si>
    <t>Check</t>
  </si>
  <si>
    <t>Share price</t>
  </si>
  <si>
    <t>Date</t>
  </si>
  <si>
    <t>PWON</t>
  </si>
  <si>
    <t>Target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</si>
</sst>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_);[Red]\(#,##0%\)"/>
    <numFmt numFmtId="60" formatCode="#,##0%"/>
    <numFmt numFmtId="61" formatCode="#,##0.0#"/>
    <numFmt numFmtId="62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343608</xdr:colOff>
      <xdr:row>1</xdr:row>
      <xdr:rowOff>256180</xdr:rowOff>
    </xdr:from>
    <xdr:to>
      <xdr:col>13</xdr:col>
      <xdr:colOff>284162</xdr:colOff>
      <xdr:row>49</xdr:row>
      <xdr:rowOff>41579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17207" y="539389"/>
          <a:ext cx="8652756" cy="121075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5469" style="1" customWidth="1"/>
    <col min="2" max="2" width="14.7656" style="1" customWidth="1"/>
    <col min="3" max="6" width="8.99219" style="1" customWidth="1"/>
    <col min="7" max="16384" width="16.3516" style="1" customWidth="1"/>
  </cols>
  <sheetData>
    <row r="1" ht="22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AVERAGE('Sales'!I29:I32)</f>
        <v>0.0801882844660228</v>
      </c>
      <c r="D4" s="8"/>
      <c r="E4" s="8"/>
      <c r="F4" s="8">
        <f>AVERAGE(C5:F5)</f>
        <v>0.0625</v>
      </c>
    </row>
    <row r="5" ht="20.05" customHeight="1">
      <c r="B5" t="s" s="9">
        <v>4</v>
      </c>
      <c r="C5" s="10">
        <v>0.07000000000000001</v>
      </c>
      <c r="D5" s="11">
        <v>0.03</v>
      </c>
      <c r="E5" s="11">
        <v>0.25</v>
      </c>
      <c r="F5" s="11">
        <v>-0.1</v>
      </c>
    </row>
    <row r="6" ht="20.05" customHeight="1">
      <c r="B6" t="s" s="9">
        <v>5</v>
      </c>
      <c r="C6" s="12">
        <f>'Sales'!C32*(1+C5)</f>
        <v>1398.704</v>
      </c>
      <c r="D6" s="13">
        <f>C6*(1+D5)</f>
        <v>1440.66512</v>
      </c>
      <c r="E6" s="13">
        <f>D6*(1+E5)</f>
        <v>1800.8314</v>
      </c>
      <c r="F6" s="13">
        <f>E6*(1+F5)</f>
        <v>1620.74826</v>
      </c>
    </row>
    <row r="7" ht="20.05" customHeight="1">
      <c r="B7" t="s" s="9">
        <v>6</v>
      </c>
      <c r="C7" s="14">
        <f>AVERAGE('Sales'!J32:K32)</f>
        <v>-0.556713423663544</v>
      </c>
      <c r="D7" s="15">
        <f>C7</f>
        <v>-0.556713423663544</v>
      </c>
      <c r="E7" s="15">
        <f>D7</f>
        <v>-0.556713423663544</v>
      </c>
      <c r="F7" s="15">
        <f>E7</f>
        <v>-0.556713423663544</v>
      </c>
    </row>
    <row r="8" ht="20.05" customHeight="1">
      <c r="B8" t="s" s="9">
        <v>7</v>
      </c>
      <c r="C8" s="16">
        <f>C6*C7</f>
        <v>-778.677292531894</v>
      </c>
      <c r="D8" s="17">
        <f>D6*D7</f>
        <v>-802.0376113078501</v>
      </c>
      <c r="E8" s="17">
        <f>E6*E7</f>
        <v>-1002.547014134810</v>
      </c>
      <c r="F8" s="17">
        <f>F6*F7</f>
        <v>-902.292312721332</v>
      </c>
    </row>
    <row r="9" ht="20.05" customHeight="1">
      <c r="B9" t="s" s="9">
        <v>8</v>
      </c>
      <c r="C9" s="16">
        <f>C6+C8</f>
        <v>620.026707468106</v>
      </c>
      <c r="D9" s="17">
        <f>D6+D8</f>
        <v>638.6275086921499</v>
      </c>
      <c r="E9" s="17">
        <f>E6+E8</f>
        <v>798.284385865190</v>
      </c>
      <c r="F9" s="17">
        <f>F6+F8</f>
        <v>718.455947278668</v>
      </c>
    </row>
    <row r="10" ht="20.05" customHeight="1">
      <c r="B10" t="s" s="9">
        <v>9</v>
      </c>
      <c r="C10" s="16">
        <f>AVERAGE('Cashflow '!E32)</f>
        <v>-87.7</v>
      </c>
      <c r="D10" s="17">
        <f>C10</f>
        <v>-87.7</v>
      </c>
      <c r="E10" s="17">
        <f>D10</f>
        <v>-87.7</v>
      </c>
      <c r="F10" s="17">
        <f>E10</f>
        <v>-87.7</v>
      </c>
    </row>
    <row r="11" ht="20.05" customHeight="1">
      <c r="B11" t="s" s="9">
        <v>10</v>
      </c>
      <c r="C11" s="16">
        <f>C12+C15+C13</f>
        <v>-623.768012240432</v>
      </c>
      <c r="D11" s="17">
        <f>D12+D15+D13</f>
        <v>-604.9807526076449</v>
      </c>
      <c r="E11" s="17">
        <f>E12+E15+E13</f>
        <v>-629.728690759557</v>
      </c>
      <c r="F11" s="17">
        <f>F12+F15+F13</f>
        <v>-583.7884904336</v>
      </c>
    </row>
    <row r="12" ht="20.05" customHeight="1">
      <c r="B12" t="s" s="9">
        <v>11</v>
      </c>
      <c r="C12" s="18">
        <f>-('Balance Sheet '!G32)/20</f>
        <v>-487.35</v>
      </c>
      <c r="D12" s="17">
        <f>-C27/20</f>
        <v>-462.9825</v>
      </c>
      <c r="E12" s="17">
        <f>-D27/20</f>
        <v>-439.833375</v>
      </c>
      <c r="F12" s="17">
        <f>-E27/20</f>
        <v>-417.84170625</v>
      </c>
    </row>
    <row r="13" ht="20.05" customHeight="1">
      <c r="B13" t="s" s="9">
        <v>12</v>
      </c>
      <c r="C13" s="19">
        <f>-MIN(0,C16)</f>
        <v>0</v>
      </c>
      <c r="D13" s="17">
        <f>-MIN(C28,D16)</f>
        <v>0</v>
      </c>
      <c r="E13" s="17">
        <f>-MIN(D28,E16)</f>
        <v>0</v>
      </c>
      <c r="F13" s="17">
        <f>-MIN(E28,F16)</f>
        <v>0</v>
      </c>
    </row>
    <row r="14" ht="20.05" customHeight="1">
      <c r="B14" t="s" s="9">
        <v>13</v>
      </c>
      <c r="C14" s="20">
        <v>0.3</v>
      </c>
      <c r="D14" s="17"/>
      <c r="E14" s="17"/>
      <c r="F14" s="17"/>
    </row>
    <row r="15" ht="20.05" customHeight="1">
      <c r="B15" t="s" s="9">
        <v>14</v>
      </c>
      <c r="C15" s="16">
        <f>IF(C22&gt;0,-C22*$C$14,0)</f>
        <v>-136.418012240432</v>
      </c>
      <c r="D15" s="17">
        <f>IF(D22&gt;0,-D22*$C$14,0)</f>
        <v>-141.998252607645</v>
      </c>
      <c r="E15" s="17">
        <f>IF(E22&gt;0,-E22*$C$14,0)</f>
        <v>-189.895315759557</v>
      </c>
      <c r="F15" s="17">
        <f>IF(F22&gt;0,-F22*$C$14,0)</f>
        <v>-165.9467841836</v>
      </c>
    </row>
    <row r="16" ht="20.05" customHeight="1">
      <c r="B16" t="s" s="9">
        <v>15</v>
      </c>
      <c r="C16" s="16">
        <f>C9+C10+C12+C15+C17</f>
        <v>6946.558695227670</v>
      </c>
      <c r="D16" s="17">
        <f>D9+D10+D12+D15+D17</f>
        <v>6892.505451312180</v>
      </c>
      <c r="E16" s="17">
        <f>E9+E10+E12+E15+E17</f>
        <v>6973.361146417810</v>
      </c>
      <c r="F16" s="17">
        <f>F9+F10+F12+F15+F17</f>
        <v>7020.328603262880</v>
      </c>
    </row>
    <row r="17" ht="20.05" customHeight="1">
      <c r="B17" t="s" s="9">
        <v>16</v>
      </c>
      <c r="C17" s="16">
        <f>'Balance Sheet '!C32</f>
        <v>7038</v>
      </c>
      <c r="D17" s="17">
        <f>C19</f>
        <v>6946.558695227670</v>
      </c>
      <c r="E17" s="17">
        <f>D19</f>
        <v>6892.505451312180</v>
      </c>
      <c r="F17" s="17">
        <f>E19</f>
        <v>6973.361146417810</v>
      </c>
    </row>
    <row r="18" ht="20.05" customHeight="1">
      <c r="B18" t="s" s="9">
        <v>17</v>
      </c>
      <c r="C18" s="16">
        <f>C9+C10+C11</f>
        <v>-91.44130477232601</v>
      </c>
      <c r="D18" s="17">
        <f>D9+D10+D11</f>
        <v>-54.053243915495</v>
      </c>
      <c r="E18" s="17">
        <f>E9+E10+E11</f>
        <v>80.855695105633</v>
      </c>
      <c r="F18" s="17">
        <f>F9+F10+F11</f>
        <v>46.967456845068</v>
      </c>
    </row>
    <row r="19" ht="20.05" customHeight="1">
      <c r="B19" t="s" s="9">
        <v>18</v>
      </c>
      <c r="C19" s="16">
        <f>C17+C18</f>
        <v>6946.558695227670</v>
      </c>
      <c r="D19" s="17">
        <f>D17+D18</f>
        <v>6892.505451312180</v>
      </c>
      <c r="E19" s="17">
        <f>E17+E18</f>
        <v>6973.361146417810</v>
      </c>
      <c r="F19" s="17">
        <f>F17+F18</f>
        <v>7020.328603262880</v>
      </c>
    </row>
    <row r="20" ht="20.05" customHeight="1">
      <c r="B20" t="s" s="21">
        <v>19</v>
      </c>
      <c r="C20" s="19"/>
      <c r="D20" s="22"/>
      <c r="E20" s="22"/>
      <c r="F20" s="23"/>
    </row>
    <row r="21" ht="20.05" customHeight="1">
      <c r="B21" t="s" s="9">
        <v>20</v>
      </c>
      <c r="C21" s="16">
        <f>-AVERAGE('Sales'!E32)</f>
        <v>-165.3</v>
      </c>
      <c r="D21" s="17">
        <f>C21</f>
        <v>-165.3</v>
      </c>
      <c r="E21" s="17">
        <f>D21</f>
        <v>-165.3</v>
      </c>
      <c r="F21" s="17">
        <f>E21</f>
        <v>-165.3</v>
      </c>
    </row>
    <row r="22" ht="20.05" customHeight="1">
      <c r="B22" t="s" s="9">
        <v>21</v>
      </c>
      <c r="C22" s="16">
        <f>C6+C8+C21</f>
        <v>454.726707468106</v>
      </c>
      <c r="D22" s="17">
        <f>D6+D8+D21</f>
        <v>473.327508692150</v>
      </c>
      <c r="E22" s="17">
        <f>E6+E8+E21</f>
        <v>632.984385865190</v>
      </c>
      <c r="F22" s="17">
        <f>F6+F8+F21</f>
        <v>553.155947278668</v>
      </c>
    </row>
    <row r="23" ht="20.05" customHeight="1">
      <c r="B23" t="s" s="21">
        <v>22</v>
      </c>
      <c r="C23" s="19"/>
      <c r="D23" s="22"/>
      <c r="E23" s="22"/>
      <c r="F23" s="17"/>
    </row>
    <row r="24" ht="20.05" customHeight="1">
      <c r="B24" t="s" s="9">
        <v>23</v>
      </c>
      <c r="C24" s="16">
        <f>'Balance Sheet '!E32+'Balance Sheet '!F32-C10</f>
        <v>27170.7</v>
      </c>
      <c r="D24" s="17">
        <f>C24-D10</f>
        <v>27258.4</v>
      </c>
      <c r="E24" s="17">
        <f>D24-E10</f>
        <v>27346.1</v>
      </c>
      <c r="F24" s="17">
        <f>E24-F10</f>
        <v>27433.8</v>
      </c>
    </row>
    <row r="25" ht="20.05" customHeight="1">
      <c r="B25" t="s" s="9">
        <v>24</v>
      </c>
      <c r="C25" s="16">
        <f>'Balance Sheet '!F32-C21</f>
        <v>4952.3</v>
      </c>
      <c r="D25" s="17">
        <f>C25-D21</f>
        <v>5117.6</v>
      </c>
      <c r="E25" s="17">
        <f>D25-E21</f>
        <v>5282.9</v>
      </c>
      <c r="F25" s="17">
        <f>E25-F21</f>
        <v>5448.2</v>
      </c>
    </row>
    <row r="26" ht="20.05" customHeight="1">
      <c r="B26" t="s" s="9">
        <v>25</v>
      </c>
      <c r="C26" s="16">
        <f>C24-C25</f>
        <v>22218.4</v>
      </c>
      <c r="D26" s="17">
        <f>D24-D25</f>
        <v>22140.8</v>
      </c>
      <c r="E26" s="17">
        <f>E24-E25</f>
        <v>22063.2</v>
      </c>
      <c r="F26" s="17">
        <f>F24-F25</f>
        <v>21985.6</v>
      </c>
    </row>
    <row r="27" ht="20.05" customHeight="1">
      <c r="B27" t="s" s="9">
        <v>11</v>
      </c>
      <c r="C27" s="16">
        <f>'Balance Sheet '!G32+C12</f>
        <v>9259.65</v>
      </c>
      <c r="D27" s="17">
        <f>C27+D12</f>
        <v>8796.6675</v>
      </c>
      <c r="E27" s="17">
        <f>D27+E12</f>
        <v>8356.834124999999</v>
      </c>
      <c r="F27" s="17">
        <f>E27+F12</f>
        <v>7938.99241875</v>
      </c>
    </row>
    <row r="28" ht="20.05" customHeight="1">
      <c r="B28" t="s" s="9">
        <v>12</v>
      </c>
      <c r="C28" s="16">
        <f>C13</f>
        <v>0</v>
      </c>
      <c r="D28" s="17">
        <f>C28+D13</f>
        <v>0</v>
      </c>
      <c r="E28" s="17">
        <f>D28+E13</f>
        <v>0</v>
      </c>
      <c r="F28" s="17">
        <f>E28+F13</f>
        <v>0</v>
      </c>
    </row>
    <row r="29" ht="20.05" customHeight="1">
      <c r="B29" t="s" s="9">
        <v>14</v>
      </c>
      <c r="C29" s="16">
        <f>'Balance Sheet '!H32+C22+C15</f>
        <v>19905.3086952277</v>
      </c>
      <c r="D29" s="17">
        <f>C29+D22+D15</f>
        <v>20236.6379513122</v>
      </c>
      <c r="E29" s="17">
        <f>D29+E22+E15</f>
        <v>20679.7270214178</v>
      </c>
      <c r="F29" s="17">
        <f>E29+F22+F15</f>
        <v>21066.9361845129</v>
      </c>
    </row>
    <row r="30" ht="20.05" customHeight="1">
      <c r="B30" t="s" s="9">
        <v>26</v>
      </c>
      <c r="C30" s="16">
        <f>C27+C28+C29-C19-C26</f>
        <v>3e-11</v>
      </c>
      <c r="D30" s="17">
        <f>D27+D28+D29-D19-D26</f>
        <v>2e-11</v>
      </c>
      <c r="E30" s="17">
        <f>E27+E28+E29-E19-E26</f>
        <v>-9.999999999999999e-12</v>
      </c>
      <c r="F30" s="17">
        <f>F27+F28+F29-F19-F26</f>
        <v>2e-11</v>
      </c>
    </row>
    <row r="31" ht="20.05" customHeight="1">
      <c r="B31" t="s" s="9">
        <v>27</v>
      </c>
      <c r="C31" s="16">
        <f>C19-C27-C28</f>
        <v>-2313.091304772330</v>
      </c>
      <c r="D31" s="17">
        <f>D19-D27-D28</f>
        <v>-1904.162048687820</v>
      </c>
      <c r="E31" s="17">
        <f>E19-E27-E28</f>
        <v>-1383.472978582190</v>
      </c>
      <c r="F31" s="17">
        <f>F19-F27-F28</f>
        <v>-918.663815487120</v>
      </c>
    </row>
    <row r="32" ht="20.05" customHeight="1">
      <c r="B32" t="s" s="21">
        <v>28</v>
      </c>
      <c r="C32" s="16"/>
      <c r="D32" s="17"/>
      <c r="E32" s="17"/>
      <c r="F32" s="17"/>
    </row>
    <row r="33" ht="20.05" customHeight="1">
      <c r="B33" t="s" s="9">
        <v>29</v>
      </c>
      <c r="C33" s="16">
        <f>'Cashflow '!L32-C11</f>
        <v>2284.468012240430</v>
      </c>
      <c r="D33" s="17">
        <f>C33-D11</f>
        <v>2889.448764848080</v>
      </c>
      <c r="E33" s="17">
        <f>D33-E11</f>
        <v>3519.177455607640</v>
      </c>
      <c r="F33" s="17">
        <f>E33-F11</f>
        <v>4102.965946041240</v>
      </c>
    </row>
    <row r="34" ht="20.05" customHeight="1">
      <c r="B34" t="s" s="9">
        <v>30</v>
      </c>
      <c r="C34" s="16"/>
      <c r="D34" s="17"/>
      <c r="E34" s="17"/>
      <c r="F34" s="17">
        <v>24320598323200</v>
      </c>
    </row>
    <row r="35" ht="20.05" customHeight="1">
      <c r="B35" t="s" s="9">
        <v>30</v>
      </c>
      <c r="C35" s="16"/>
      <c r="D35" s="17"/>
      <c r="E35" s="17"/>
      <c r="F35" s="17">
        <f>F34/1000000000</f>
        <v>24320.5983232</v>
      </c>
    </row>
    <row r="36" ht="20.05" customHeight="1">
      <c r="B36" t="s" s="9">
        <v>31</v>
      </c>
      <c r="C36" s="16"/>
      <c r="D36" s="17"/>
      <c r="E36" s="17"/>
      <c r="F36" s="24">
        <f>F35/(F19+F26)</f>
        <v>0.838469909233114</v>
      </c>
    </row>
    <row r="37" ht="20.05" customHeight="1">
      <c r="B37" t="s" s="9">
        <v>32</v>
      </c>
      <c r="C37" s="16"/>
      <c r="D37" s="17"/>
      <c r="E37" s="17"/>
      <c r="F37" s="15">
        <f>-(C15+D15+E15+F15)/F35</f>
        <v>0.0260790608998381</v>
      </c>
    </row>
    <row r="38" ht="20.05" customHeight="1">
      <c r="B38" t="s" s="9">
        <v>3</v>
      </c>
      <c r="C38" s="16"/>
      <c r="D38" s="17"/>
      <c r="E38" s="17"/>
      <c r="F38" s="17">
        <f>SUM(C9:F10)</f>
        <v>2424.594549304110</v>
      </c>
    </row>
    <row r="39" ht="20.05" customHeight="1">
      <c r="B39" t="s" s="9">
        <v>33</v>
      </c>
      <c r="C39" s="16"/>
      <c r="D39" s="17"/>
      <c r="E39" s="17"/>
      <c r="F39" s="17">
        <f>'Balance Sheet '!E32/F38</f>
        <v>9.195764300632961</v>
      </c>
    </row>
    <row r="40" ht="20.05" customHeight="1">
      <c r="B40" t="s" s="9">
        <v>28</v>
      </c>
      <c r="C40" s="16"/>
      <c r="D40" s="17"/>
      <c r="E40" s="17"/>
      <c r="F40" s="17">
        <f>F35/F38</f>
        <v>10.0307898201703</v>
      </c>
    </row>
    <row r="41" ht="20.05" customHeight="1">
      <c r="B41" t="s" s="9">
        <v>34</v>
      </c>
      <c r="C41" s="16"/>
      <c r="D41" s="17"/>
      <c r="E41" s="17"/>
      <c r="F41" s="17">
        <v>14</v>
      </c>
    </row>
    <row r="42" ht="20.05" customHeight="1">
      <c r="B42" t="s" s="9">
        <v>35</v>
      </c>
      <c r="C42" s="16"/>
      <c r="D42" s="17"/>
      <c r="E42" s="17"/>
      <c r="F42" s="17">
        <f>F38*F41</f>
        <v>33944.3236902575</v>
      </c>
    </row>
    <row r="43" ht="20.05" customHeight="1">
      <c r="B43" t="s" s="9">
        <v>36</v>
      </c>
      <c r="C43" s="16"/>
      <c r="D43" s="17"/>
      <c r="E43" s="17"/>
      <c r="F43" s="17">
        <f>F35/F45</f>
        <v>48.15960064</v>
      </c>
    </row>
    <row r="44" ht="20.05" customHeight="1">
      <c r="B44" t="s" s="9">
        <v>37</v>
      </c>
      <c r="C44" s="16"/>
      <c r="D44" s="17"/>
      <c r="E44" s="17"/>
      <c r="F44" s="17">
        <f>F42/F43</f>
        <v>704.829841592671</v>
      </c>
    </row>
    <row r="45" ht="20.05" customHeight="1">
      <c r="B45" t="s" s="9">
        <v>38</v>
      </c>
      <c r="C45" s="16"/>
      <c r="D45" s="17"/>
      <c r="E45" s="17"/>
      <c r="F45" s="17">
        <v>505</v>
      </c>
    </row>
    <row r="46" ht="20.05" customHeight="1">
      <c r="B46" t="s" s="9">
        <v>39</v>
      </c>
      <c r="C46" s="16"/>
      <c r="D46" s="17"/>
      <c r="E46" s="17"/>
      <c r="F46" s="15">
        <f>F44/F45-1</f>
        <v>0.39570265661915</v>
      </c>
    </row>
    <row r="47" ht="20.05" customHeight="1">
      <c r="B47" t="s" s="9">
        <v>40</v>
      </c>
      <c r="C47" s="16"/>
      <c r="D47" s="17"/>
      <c r="E47" s="17"/>
      <c r="F47" s="15">
        <f>'Sales'!C32/'Sales'!C28-1</f>
        <v>0.171326164874552</v>
      </c>
    </row>
    <row r="48" ht="20.05" customHeight="1">
      <c r="B48" t="s" s="9">
        <v>41</v>
      </c>
      <c r="C48" s="16"/>
      <c r="D48" s="17"/>
      <c r="E48" s="17"/>
      <c r="F48" s="15">
        <f>'Sales'!F35/'Sales'!E35-1</f>
        <v>0.0588736735862953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40625" style="25" customWidth="1"/>
    <col min="2" max="2" width="9.39062" style="25" customWidth="1"/>
    <col min="3" max="12" width="9.59375" style="25" customWidth="1"/>
    <col min="13" max="16384" width="16.3516" style="25" customWidth="1"/>
  </cols>
  <sheetData>
    <row r="1" ht="15.8" customHeight="1"/>
    <row r="2" ht="27.65" customHeight="1">
      <c r="B2" t="s" s="2">
        <v>42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42</v>
      </c>
      <c r="D3" t="s" s="5">
        <v>34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46</v>
      </c>
      <c r="J3" t="s" s="5">
        <v>47</v>
      </c>
      <c r="K3" t="s" s="5">
        <v>47</v>
      </c>
      <c r="L3" t="s" s="5">
        <v>34</v>
      </c>
    </row>
    <row r="4" ht="20.25" customHeight="1">
      <c r="B4" s="26">
        <v>2015</v>
      </c>
      <c r="C4" s="27">
        <v>1168</v>
      </c>
      <c r="D4" s="28"/>
      <c r="E4" s="29">
        <v>76</v>
      </c>
      <c r="F4" s="29">
        <v>-147</v>
      </c>
      <c r="G4" s="29"/>
      <c r="H4" s="29">
        <v>358</v>
      </c>
      <c r="I4" s="30"/>
      <c r="J4" s="31">
        <f>(E4+H4-F4-C4)/C4</f>
        <v>-0.502568493150685</v>
      </c>
      <c r="K4" s="31"/>
      <c r="L4" s="31"/>
    </row>
    <row r="5" ht="20.05" customHeight="1">
      <c r="B5" s="32"/>
      <c r="C5" s="16">
        <v>1258</v>
      </c>
      <c r="D5" s="22"/>
      <c r="E5" s="17">
        <v>65</v>
      </c>
      <c r="F5" s="17">
        <v>-16</v>
      </c>
      <c r="G5" s="17"/>
      <c r="H5" s="17">
        <v>469</v>
      </c>
      <c r="I5" s="15">
        <f>C5/C4-1</f>
        <v>0.07705479452054791</v>
      </c>
      <c r="J5" s="15">
        <f>(E5+H5-F5-C5)/C5</f>
        <v>-0.562798092209857</v>
      </c>
      <c r="K5" s="15"/>
      <c r="L5" s="15"/>
    </row>
    <row r="6" ht="20.05" customHeight="1">
      <c r="B6" s="32"/>
      <c r="C6" s="16">
        <v>1136</v>
      </c>
      <c r="D6" s="22"/>
      <c r="E6" s="17">
        <v>72</v>
      </c>
      <c r="F6" s="17">
        <v>23</v>
      </c>
      <c r="G6" s="17"/>
      <c r="H6" s="17">
        <v>223</v>
      </c>
      <c r="I6" s="15">
        <f>C6/C5-1</f>
        <v>-0.0969793322734499</v>
      </c>
      <c r="J6" s="15">
        <f>(E6+H6-F6-C6)/C6</f>
        <v>-0.76056338028169</v>
      </c>
      <c r="K6" s="15"/>
      <c r="L6" s="15"/>
    </row>
    <row r="7" ht="20.05" customHeight="1">
      <c r="B7" s="32"/>
      <c r="C7" s="16">
        <v>1063</v>
      </c>
      <c r="D7" s="22"/>
      <c r="E7" s="17">
        <v>80</v>
      </c>
      <c r="F7" s="17">
        <v>-213</v>
      </c>
      <c r="G7" s="17"/>
      <c r="H7" s="17">
        <v>351</v>
      </c>
      <c r="I7" s="15">
        <f>C7/C6-1</f>
        <v>-0.0642605633802817</v>
      </c>
      <c r="J7" s="15">
        <f>(E7+H7-F7-C7)/C7</f>
        <v>-0.394167450611477</v>
      </c>
      <c r="K7" s="15"/>
      <c r="L7" s="15"/>
    </row>
    <row r="8" ht="20.05" customHeight="1">
      <c r="B8" s="33">
        <v>2016</v>
      </c>
      <c r="C8" s="16">
        <v>1246</v>
      </c>
      <c r="D8" s="22"/>
      <c r="E8" s="17">
        <v>74</v>
      </c>
      <c r="F8" s="17">
        <v>115</v>
      </c>
      <c r="G8" s="17"/>
      <c r="H8" s="17">
        <v>605</v>
      </c>
      <c r="I8" s="15">
        <f>C8/C7-1</f>
        <v>0.172154280338664</v>
      </c>
      <c r="J8" s="15">
        <f>(E8+H8-F8-C8)/C8</f>
        <v>-0.547351524879615</v>
      </c>
      <c r="K8" s="15"/>
      <c r="L8" s="15"/>
    </row>
    <row r="9" ht="20.05" customHeight="1">
      <c r="B9" s="32"/>
      <c r="C9" s="16">
        <v>1195</v>
      </c>
      <c r="D9" s="22"/>
      <c r="E9" s="17">
        <v>79</v>
      </c>
      <c r="F9" s="17">
        <v>0</v>
      </c>
      <c r="G9" s="17"/>
      <c r="H9" s="17">
        <v>357</v>
      </c>
      <c r="I9" s="15">
        <f>C9/C8-1</f>
        <v>-0.0409309791332263</v>
      </c>
      <c r="J9" s="15">
        <f>(E9+H9-F9-C9)/C9</f>
        <v>-0.635146443514644</v>
      </c>
      <c r="K9" s="15"/>
      <c r="L9" s="15"/>
    </row>
    <row r="10" ht="20.05" customHeight="1">
      <c r="B10" s="32"/>
      <c r="C10" s="16">
        <v>1194</v>
      </c>
      <c r="D10" s="22"/>
      <c r="E10" s="17">
        <v>83</v>
      </c>
      <c r="F10" s="17">
        <v>-35</v>
      </c>
      <c r="G10" s="17"/>
      <c r="H10" s="17">
        <v>442</v>
      </c>
      <c r="I10" s="15">
        <f>C10/C9-1</f>
        <v>-0.000836820083682008</v>
      </c>
      <c r="J10" s="15">
        <f>(E10+H10-F10-C10)/C10</f>
        <v>-0.530988274706868</v>
      </c>
      <c r="K10" s="15"/>
      <c r="L10" s="15"/>
    </row>
    <row r="11" ht="20.05" customHeight="1">
      <c r="B11" s="32"/>
      <c r="C11" s="16">
        <v>1206</v>
      </c>
      <c r="D11" s="22"/>
      <c r="E11" s="17">
        <v>103</v>
      </c>
      <c r="F11" s="17">
        <v>-53</v>
      </c>
      <c r="G11" s="17"/>
      <c r="H11" s="17">
        <v>376</v>
      </c>
      <c r="I11" s="15">
        <f>C11/C10-1</f>
        <v>0.0100502512562814</v>
      </c>
      <c r="J11" s="15">
        <f>(E11+H11-F11-C11)/C11</f>
        <v>-0.558872305140962</v>
      </c>
      <c r="K11" s="15"/>
      <c r="L11" s="15"/>
    </row>
    <row r="12" ht="20.05" customHeight="1">
      <c r="B12" s="33">
        <v>2017</v>
      </c>
      <c r="C12" s="16">
        <v>1378</v>
      </c>
      <c r="D12" s="22"/>
      <c r="E12" s="17">
        <v>82</v>
      </c>
      <c r="F12" s="17">
        <v>-137</v>
      </c>
      <c r="G12" s="17"/>
      <c r="H12" s="17">
        <v>374</v>
      </c>
      <c r="I12" s="15">
        <f>C12/C11-1</f>
        <v>0.142620232172471</v>
      </c>
      <c r="J12" s="15">
        <f>(E12+H12-F12-C12)/C12</f>
        <v>-0.5696661828737301</v>
      </c>
      <c r="K12" s="15">
        <f>AVERAGE(J9:J12)</f>
        <v>-0.573668301559051</v>
      </c>
      <c r="L12" s="15"/>
    </row>
    <row r="13" ht="20.05" customHeight="1">
      <c r="B13" s="32"/>
      <c r="C13" s="16">
        <v>1573</v>
      </c>
      <c r="D13" s="22"/>
      <c r="E13" s="17">
        <v>85</v>
      </c>
      <c r="F13" s="17">
        <v>-40</v>
      </c>
      <c r="G13" s="17"/>
      <c r="H13" s="17">
        <v>600</v>
      </c>
      <c r="I13" s="15">
        <f>C13/C12-1</f>
        <v>0.141509433962264</v>
      </c>
      <c r="J13" s="15">
        <f>(E13+H13-F13-C13)/C13</f>
        <v>-0.539097266369994</v>
      </c>
      <c r="K13" s="15">
        <f>AVERAGE(J10:J13)</f>
        <v>-0.549656007272889</v>
      </c>
      <c r="L13" s="15"/>
    </row>
    <row r="14" ht="20.05" customHeight="1">
      <c r="B14" s="32"/>
      <c r="C14" s="16">
        <v>1443</v>
      </c>
      <c r="D14" s="22"/>
      <c r="E14" s="17">
        <v>109</v>
      </c>
      <c r="F14" s="17">
        <v>-25</v>
      </c>
      <c r="G14" s="17"/>
      <c r="H14" s="17">
        <v>568</v>
      </c>
      <c r="I14" s="15">
        <f>C14/C13-1</f>
        <v>-0.0826446280991736</v>
      </c>
      <c r="J14" s="15">
        <f>(E14+H14-F14-C14)/C14</f>
        <v>-0.513513513513514</v>
      </c>
      <c r="K14" s="15">
        <f>AVERAGE(J11:J14)</f>
        <v>-0.54528731697455</v>
      </c>
      <c r="L14" s="15"/>
    </row>
    <row r="15" ht="20.05" customHeight="1">
      <c r="B15" s="32"/>
      <c r="C15" s="16">
        <v>1355</v>
      </c>
      <c r="D15" s="22"/>
      <c r="E15" s="17">
        <v>103</v>
      </c>
      <c r="F15" s="17">
        <v>8</v>
      </c>
      <c r="G15" s="17"/>
      <c r="H15" s="17">
        <v>483</v>
      </c>
      <c r="I15" s="15">
        <f>C15/C14-1</f>
        <v>-0.060984060984061</v>
      </c>
      <c r="J15" s="15">
        <f>(E15+H15-F15-C15)/C15</f>
        <v>-0.573431734317343</v>
      </c>
      <c r="K15" s="15">
        <f>AVERAGE(J12:J15)</f>
        <v>-0.548927174268645</v>
      </c>
      <c r="L15" s="15"/>
    </row>
    <row r="16" ht="20.05" customHeight="1">
      <c r="B16" s="33">
        <v>2018</v>
      </c>
      <c r="C16" s="16">
        <v>1647</v>
      </c>
      <c r="D16" s="22"/>
      <c r="E16" s="17">
        <v>104</v>
      </c>
      <c r="F16" s="17">
        <v>-50</v>
      </c>
      <c r="G16" s="17"/>
      <c r="H16" s="17">
        <v>640</v>
      </c>
      <c r="I16" s="15">
        <f>C16/C15-1</f>
        <v>0.21549815498155</v>
      </c>
      <c r="J16" s="15">
        <f>(E16+H16-F16-C16)/C16</f>
        <v>-0.517911353976928</v>
      </c>
      <c r="K16" s="15">
        <f>AVERAGE(J13:J16)</f>
        <v>-0.535988467044445</v>
      </c>
      <c r="L16" s="15"/>
    </row>
    <row r="17" ht="20.05" customHeight="1">
      <c r="B17" s="32"/>
      <c r="C17" s="16">
        <v>1730</v>
      </c>
      <c r="D17" s="22"/>
      <c r="E17" s="17">
        <v>105</v>
      </c>
      <c r="F17" s="17">
        <v>-131</v>
      </c>
      <c r="G17" s="17"/>
      <c r="H17" s="17">
        <v>639</v>
      </c>
      <c r="I17" s="15">
        <f>C17/C16-1</f>
        <v>0.050394656952034</v>
      </c>
      <c r="J17" s="15">
        <f>(E17+H17-F17-C17)/C17</f>
        <v>-0.494219653179191</v>
      </c>
      <c r="K17" s="15">
        <f>AVERAGE(J14:J17)</f>
        <v>-0.524769063746744</v>
      </c>
      <c r="L17" s="15"/>
    </row>
    <row r="18" ht="20.05" customHeight="1">
      <c r="B18" s="32"/>
      <c r="C18" s="16">
        <v>1852</v>
      </c>
      <c r="D18" s="22"/>
      <c r="E18" s="17">
        <v>108</v>
      </c>
      <c r="F18" s="17">
        <v>-107</v>
      </c>
      <c r="G18" s="17"/>
      <c r="H18" s="17">
        <v>721</v>
      </c>
      <c r="I18" s="15">
        <f>C18/C17-1</f>
        <v>0.0705202312138728</v>
      </c>
      <c r="J18" s="15">
        <f>(E18+H18-F18-C18)/C18</f>
        <v>-0.494600431965443</v>
      </c>
      <c r="K18" s="15">
        <f>AVERAGE(J15:J18)</f>
        <v>-0.520040793359726</v>
      </c>
      <c r="L18" s="15"/>
    </row>
    <row r="19" ht="20.05" customHeight="1">
      <c r="B19" s="32"/>
      <c r="C19" s="16">
        <v>1852</v>
      </c>
      <c r="D19" s="22"/>
      <c r="E19" s="17">
        <v>133</v>
      </c>
      <c r="F19" s="17">
        <v>91</v>
      </c>
      <c r="G19" s="17"/>
      <c r="H19" s="17">
        <v>827</v>
      </c>
      <c r="I19" s="15">
        <f>C19/C18-1</f>
        <v>0</v>
      </c>
      <c r="J19" s="15">
        <f>(E19+H19-F19-C19)/C19</f>
        <v>-0.530777537796976</v>
      </c>
      <c r="K19" s="15">
        <f>AVERAGE(J16:J19)</f>
        <v>-0.509377244229635</v>
      </c>
      <c r="L19" s="15"/>
    </row>
    <row r="20" ht="20.05" customHeight="1">
      <c r="B20" s="33">
        <v>2019</v>
      </c>
      <c r="C20" s="16">
        <v>1711</v>
      </c>
      <c r="D20" s="22"/>
      <c r="E20" s="17">
        <v>110</v>
      </c>
      <c r="F20" s="17">
        <v>79</v>
      </c>
      <c r="G20" s="17"/>
      <c r="H20" s="17">
        <v>859</v>
      </c>
      <c r="I20" s="15">
        <f>C20/C19-1</f>
        <v>-0.076133909287257</v>
      </c>
      <c r="J20" s="15">
        <f>(E20+H20-F20-C20)/C20</f>
        <v>-0.479836353009936</v>
      </c>
      <c r="K20" s="15">
        <f>AVERAGE(J17:J20)</f>
        <v>-0.499858493987887</v>
      </c>
      <c r="L20" s="15"/>
    </row>
    <row r="21" ht="20.05" customHeight="1">
      <c r="B21" s="32"/>
      <c r="C21" s="16">
        <v>1794</v>
      </c>
      <c r="D21" s="22"/>
      <c r="E21" s="17">
        <v>116</v>
      </c>
      <c r="F21" s="17">
        <v>5</v>
      </c>
      <c r="G21" s="17"/>
      <c r="H21" s="17">
        <v>775</v>
      </c>
      <c r="I21" s="15">
        <f>C21/C20-1</f>
        <v>0.0485096434833431</v>
      </c>
      <c r="J21" s="15">
        <f>(E21+H21-F21-C21)/C21</f>
        <v>-0.50613154960981</v>
      </c>
      <c r="K21" s="15">
        <f>AVERAGE(J18:J21)</f>
        <v>-0.5028364680955409</v>
      </c>
      <c r="L21" s="15"/>
    </row>
    <row r="22" ht="20.05" customHeight="1">
      <c r="B22" s="32"/>
      <c r="C22" s="16">
        <v>1735</v>
      </c>
      <c r="D22" s="22"/>
      <c r="E22" s="17">
        <v>112</v>
      </c>
      <c r="F22" s="17">
        <v>28.6</v>
      </c>
      <c r="G22" s="17"/>
      <c r="H22" s="17">
        <v>861</v>
      </c>
      <c r="I22" s="15">
        <f>C22/C21-1</f>
        <v>-0.0328874024526198</v>
      </c>
      <c r="J22" s="15">
        <f>(E22+H22-F22-G22-C22)/C22</f>
        <v>-0.455677233429395</v>
      </c>
      <c r="K22" s="15">
        <f>AVERAGE(J19:J22)</f>
        <v>-0.493105668461529</v>
      </c>
      <c r="L22" s="15"/>
    </row>
    <row r="23" ht="20.05" customHeight="1">
      <c r="B23" s="32"/>
      <c r="C23" s="16">
        <v>1962</v>
      </c>
      <c r="D23" s="22"/>
      <c r="E23" s="17">
        <v>163</v>
      </c>
      <c r="F23" s="17">
        <v>42.4</v>
      </c>
      <c r="G23" s="17"/>
      <c r="H23" s="17">
        <v>745</v>
      </c>
      <c r="I23" s="15">
        <f>C23/C22-1</f>
        <v>0.130835734870317</v>
      </c>
      <c r="J23" s="15">
        <f>(E23+H23-F23-G23-C23)/C23</f>
        <v>-0.55881753312946</v>
      </c>
      <c r="K23" s="15">
        <f>AVERAGE(J20:J23)</f>
        <v>-0.50011566729465</v>
      </c>
      <c r="L23" s="15"/>
    </row>
    <row r="24" ht="20.05" customHeight="1">
      <c r="B24" s="33">
        <v>2020</v>
      </c>
      <c r="C24" s="16">
        <v>1650.6</v>
      </c>
      <c r="D24" s="17">
        <v>1827.6</v>
      </c>
      <c r="E24" s="17">
        <v>130</v>
      </c>
      <c r="F24" s="17">
        <v>-612</v>
      </c>
      <c r="G24" s="17">
        <v>-54</v>
      </c>
      <c r="H24" s="17">
        <v>124</v>
      </c>
      <c r="I24" s="15">
        <f>C24/C23-1</f>
        <v>-0.158715596330275</v>
      </c>
      <c r="J24" s="15">
        <f>(E24+H24-F24-G24-C24)/C24</f>
        <v>-0.442626923542954</v>
      </c>
      <c r="K24" s="15">
        <f>AVERAGE(J21:J24)</f>
        <v>-0.490813309927905</v>
      </c>
      <c r="L24" s="15"/>
    </row>
    <row r="25" ht="20.05" customHeight="1">
      <c r="B25" s="32"/>
      <c r="C25" s="16">
        <v>323.55</v>
      </c>
      <c r="D25" s="34">
        <v>1134.75</v>
      </c>
      <c r="E25" s="17">
        <v>128</v>
      </c>
      <c r="F25" s="17">
        <v>537.0599999999999</v>
      </c>
      <c r="G25" s="17">
        <v>80</v>
      </c>
      <c r="H25" s="17">
        <v>398.73</v>
      </c>
      <c r="I25" s="15">
        <f>C25/C24-1</f>
        <v>-0.803980370774264</v>
      </c>
      <c r="J25" s="15"/>
      <c r="K25" s="15">
        <f>AVERAGE(J22:J25)</f>
        <v>-0.485707230033936</v>
      </c>
      <c r="L25" s="15"/>
    </row>
    <row r="26" ht="20.05" customHeight="1">
      <c r="B26" s="32"/>
      <c r="C26" s="16">
        <v>1072.85</v>
      </c>
      <c r="D26" s="34">
        <v>694</v>
      </c>
      <c r="E26" s="17">
        <f>404.2-SUM(E24:E25)</f>
        <v>146.2</v>
      </c>
      <c r="F26" s="17">
        <f>-238.6-SUM(F24:F25)</f>
        <v>-163.66</v>
      </c>
      <c r="G26" s="17">
        <f>14.2+SUM(G24:G25)</f>
        <v>40.2</v>
      </c>
      <c r="H26" s="17">
        <f>730.8-SUM(H24:H25)</f>
        <v>208.07</v>
      </c>
      <c r="I26" s="15">
        <f>C26/C25-1</f>
        <v>2.3158708082213</v>
      </c>
      <c r="J26" s="15">
        <f>(E26+H26-F26-G26-C26)/C26</f>
        <v>-0.554709418837675</v>
      </c>
      <c r="K26" s="15">
        <f>AVERAGE(J23:J26)</f>
        <v>-0.518717958503363</v>
      </c>
      <c r="L26" s="15"/>
    </row>
    <row r="27" ht="20.05" customHeight="1">
      <c r="B27" s="32"/>
      <c r="C27" s="16">
        <f>3977.2-SUM(C24:C26)</f>
        <v>930.2</v>
      </c>
      <c r="D27" s="17">
        <v>1227.6</v>
      </c>
      <c r="E27" s="17">
        <f>549.9-SUM(E24:E26)</f>
        <v>145.7</v>
      </c>
      <c r="F27" s="17">
        <f>-56-SUM(F24:F26)</f>
        <v>182.6</v>
      </c>
      <c r="G27" s="17">
        <f>-25.7-SUM(G24:G26)</f>
        <v>-91.90000000000001</v>
      </c>
      <c r="H27" s="17">
        <f>1119.1-SUM(H24:H26)</f>
        <v>388.3</v>
      </c>
      <c r="I27" s="15">
        <f>C27/C26-1</f>
        <v>-0.132963601621848</v>
      </c>
      <c r="J27" s="15">
        <f>(E27+H27-F27-G27-C27)/C27</f>
        <v>-0.523435820253709</v>
      </c>
      <c r="K27" s="15">
        <f>AVERAGE(J24:J27)</f>
        <v>-0.506924054211446</v>
      </c>
      <c r="L27" s="15"/>
    </row>
    <row r="28" ht="20.05" customHeight="1">
      <c r="B28" s="33">
        <v>2021</v>
      </c>
      <c r="C28" s="16">
        <v>1116</v>
      </c>
      <c r="D28" s="17">
        <v>1227.6</v>
      </c>
      <c r="E28" s="34">
        <v>160.3</v>
      </c>
      <c r="F28" s="22">
        <v>-109</v>
      </c>
      <c r="G28" s="17">
        <v>55.8</v>
      </c>
      <c r="H28" s="17">
        <v>254</v>
      </c>
      <c r="I28" s="15">
        <f>C28/C27-1</f>
        <v>0.199741990969684</v>
      </c>
      <c r="J28" s="15">
        <f>(E28+H28-F28-G28-C28)/C28</f>
        <v>-0.581093189964158</v>
      </c>
      <c r="K28" s="15">
        <f>AVERAGE(J25:J28)</f>
        <v>-0.553079476351847</v>
      </c>
      <c r="L28" s="15"/>
    </row>
    <row r="29" ht="20.05" customHeight="1">
      <c r="B29" s="32"/>
      <c r="C29" s="16">
        <f>2459.7-C28</f>
        <v>1343.7</v>
      </c>
      <c r="D29" s="17">
        <v>1227.6</v>
      </c>
      <c r="E29" s="34">
        <f>319-E28</f>
        <v>158.7</v>
      </c>
      <c r="F29" s="34">
        <f>-93.5-F28</f>
        <v>15.5</v>
      </c>
      <c r="G29" s="17">
        <f>29.9-G28</f>
        <v>-25.9</v>
      </c>
      <c r="H29" s="17">
        <f>526.1-H28</f>
        <v>272.1</v>
      </c>
      <c r="I29" s="15">
        <f>C29/C28-1</f>
        <v>0.204032258064516</v>
      </c>
      <c r="J29" s="15">
        <f>(E29+H29-F29-G29-C29)/C29</f>
        <v>-0.67165289871251</v>
      </c>
      <c r="K29" s="15">
        <f>AVERAGE(J26:J29)</f>
        <v>-0.582722831942013</v>
      </c>
      <c r="L29" s="15"/>
    </row>
    <row r="30" ht="20.05" customHeight="1">
      <c r="B30" s="32"/>
      <c r="C30" s="16">
        <f>3788.3-SUM(C28:C29)</f>
        <v>1328.6</v>
      </c>
      <c r="D30" s="13">
        <v>1303.389</v>
      </c>
      <c r="E30" s="22">
        <f>480-SUM(E28:E29)</f>
        <v>161</v>
      </c>
      <c r="F30" s="17">
        <f>-47.5-SUM(F28:F29)</f>
        <v>46</v>
      </c>
      <c r="G30" s="17">
        <f>-96.5-SUM(G28:G29)</f>
        <v>-126.4</v>
      </c>
      <c r="H30" s="17">
        <f>800-SUM(H28:H29)</f>
        <v>273.9</v>
      </c>
      <c r="I30" s="15">
        <f>C30/C29-1</f>
        <v>-0.0112376274466027</v>
      </c>
      <c r="J30" s="15">
        <f>(E30+H30-F30-G30-C30)/C30</f>
        <v>-0.612148125846756</v>
      </c>
      <c r="K30" s="15">
        <f>AVERAGE(J27:J30)</f>
        <v>-0.597082508694283</v>
      </c>
      <c r="L30" s="15"/>
    </row>
    <row r="31" ht="20.05" customHeight="1">
      <c r="B31" s="32"/>
      <c r="C31" s="16">
        <f>5713.3-SUM(C28:C30)</f>
        <v>1925</v>
      </c>
      <c r="D31" s="13">
        <v>1501.318</v>
      </c>
      <c r="E31" s="17">
        <f>646.4-SUM(E28:E30)</f>
        <v>166.4</v>
      </c>
      <c r="F31" s="17">
        <f>-37.7-SUM(F28:F30)</f>
        <v>9.800000000000001</v>
      </c>
      <c r="G31" s="17">
        <f>-98.1-SUM(G28:G30)</f>
        <v>-1.6</v>
      </c>
      <c r="H31" s="17">
        <f>1550.4-SUM(H28:H30)</f>
        <v>750.4</v>
      </c>
      <c r="I31" s="15">
        <f>C31/C30-1</f>
        <v>0.448893572181243</v>
      </c>
      <c r="J31" s="15">
        <f>(E31+H31-F31-G31-C31)/C31</f>
        <v>-0.528</v>
      </c>
      <c r="K31" s="15">
        <f>AVERAGE(J28:J31)</f>
        <v>-0.598223553630856</v>
      </c>
      <c r="L31" s="15"/>
    </row>
    <row r="32" ht="20.05" customHeight="1">
      <c r="B32" s="33">
        <v>2022</v>
      </c>
      <c r="C32" s="16">
        <v>1307.2</v>
      </c>
      <c r="D32" s="13">
        <v>1501.318</v>
      </c>
      <c r="E32" s="17">
        <v>165.3</v>
      </c>
      <c r="F32" s="17">
        <v>-20.6</v>
      </c>
      <c r="G32" s="17">
        <v>-21.6</v>
      </c>
      <c r="H32" s="17">
        <v>409</v>
      </c>
      <c r="I32" s="15">
        <f>C32/C31-1</f>
        <v>-0.320935064935065</v>
      </c>
      <c r="J32" s="15">
        <f>(E32+H32-F32-G32-C32)/C32</f>
        <v>-0.528381272949816</v>
      </c>
      <c r="K32" s="15">
        <f>AVERAGE(J29:J32)</f>
        <v>-0.585045574377271</v>
      </c>
      <c r="L32" s="15">
        <v>-0.597082508694283</v>
      </c>
    </row>
    <row r="33" ht="20.05" customHeight="1">
      <c r="B33" s="32"/>
      <c r="C33" s="16"/>
      <c r="D33" s="13">
        <f>'Model'!C6</f>
        <v>1398.704</v>
      </c>
      <c r="E33" s="22"/>
      <c r="F33" s="17"/>
      <c r="G33" s="17"/>
      <c r="H33" s="17"/>
      <c r="I33" s="11"/>
      <c r="J33" s="23"/>
      <c r="K33" s="23"/>
      <c r="L33" s="15">
        <f>'Model'!C7</f>
        <v>-0.556713423663544</v>
      </c>
    </row>
    <row r="34" ht="20.05" customHeight="1">
      <c r="B34" s="32"/>
      <c r="C34" s="16"/>
      <c r="D34" s="17">
        <f>'Model'!D6</f>
        <v>1440.66512</v>
      </c>
      <c r="E34" s="22"/>
      <c r="F34" s="22"/>
      <c r="G34" s="17"/>
      <c r="H34" s="17"/>
      <c r="I34" s="11"/>
      <c r="J34" s="11"/>
      <c r="K34" s="11"/>
      <c r="L34" s="11"/>
    </row>
    <row r="35" ht="20.05" customHeight="1">
      <c r="B35" s="32"/>
      <c r="C35" s="16"/>
      <c r="D35" s="17">
        <f>'Model'!E6</f>
        <v>1800.8314</v>
      </c>
      <c r="E35" s="17">
        <f>SUM(C24:C32)</f>
        <v>10997.7</v>
      </c>
      <c r="F35" s="17">
        <f>SUM(D24:D32)</f>
        <v>11645.175</v>
      </c>
      <c r="G35" s="17"/>
      <c r="H35" s="17"/>
      <c r="I35" s="11"/>
      <c r="J35" s="11"/>
      <c r="K35" s="11"/>
      <c r="L35" s="11"/>
    </row>
    <row r="36" ht="20.05" customHeight="1">
      <c r="B36" s="33">
        <v>2023</v>
      </c>
      <c r="C36" s="16"/>
      <c r="D36" s="17">
        <f>'Model'!F6</f>
        <v>1620.74826</v>
      </c>
      <c r="E36" s="22"/>
      <c r="F36" s="22"/>
      <c r="G36" s="17"/>
      <c r="H36" s="17"/>
      <c r="I36" s="11"/>
      <c r="J36" s="11"/>
      <c r="K36" s="11"/>
      <c r="L36" s="11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46094" style="35" customWidth="1"/>
    <col min="2" max="2" width="7.47656" style="35" customWidth="1"/>
    <col min="3" max="14" width="10.3594" style="35" customWidth="1"/>
    <col min="15" max="16384" width="16.3516" style="35" customWidth="1"/>
  </cols>
  <sheetData>
    <row r="1" ht="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11</v>
      </c>
      <c r="G3" t="s" s="5">
        <v>14</v>
      </c>
      <c r="H3" t="s" s="5">
        <v>10</v>
      </c>
      <c r="I3" t="s" s="5">
        <v>52</v>
      </c>
      <c r="J3" t="s" s="5">
        <v>3</v>
      </c>
      <c r="K3" t="s" s="5">
        <v>34</v>
      </c>
      <c r="L3" t="s" s="5">
        <v>53</v>
      </c>
      <c r="M3" t="s" s="5">
        <v>34</v>
      </c>
      <c r="N3" s="36"/>
    </row>
    <row r="4" ht="20.25" customHeight="1">
      <c r="B4" s="26">
        <v>2015</v>
      </c>
      <c r="C4" s="27">
        <v>1164</v>
      </c>
      <c r="D4" s="29">
        <v>321</v>
      </c>
      <c r="E4" s="29">
        <v>-516</v>
      </c>
      <c r="F4" s="29"/>
      <c r="G4" s="29"/>
      <c r="H4" s="29">
        <v>222</v>
      </c>
      <c r="I4" s="29">
        <f>D4+E4</f>
        <v>-195</v>
      </c>
      <c r="J4" s="29"/>
      <c r="K4" s="29"/>
      <c r="L4" s="29">
        <f>-H4</f>
        <v>-222</v>
      </c>
      <c r="M4" s="29"/>
      <c r="N4" s="29">
        <v>1</v>
      </c>
    </row>
    <row r="5" ht="20.05" customHeight="1">
      <c r="B5" s="32"/>
      <c r="C5" s="16">
        <v>1399</v>
      </c>
      <c r="D5" s="17">
        <v>725</v>
      </c>
      <c r="E5" s="17">
        <v>-892</v>
      </c>
      <c r="F5" s="17"/>
      <c r="G5" s="17"/>
      <c r="H5" s="17">
        <v>-24</v>
      </c>
      <c r="I5" s="17">
        <f>D5+E5</f>
        <v>-167</v>
      </c>
      <c r="J5" s="17"/>
      <c r="K5" s="17"/>
      <c r="L5" s="17">
        <f>-H5+L4</f>
        <v>-198</v>
      </c>
      <c r="M5" s="17"/>
      <c r="N5" s="17">
        <f>1+N4</f>
        <v>2</v>
      </c>
    </row>
    <row r="6" ht="20.05" customHeight="1">
      <c r="B6" s="32"/>
      <c r="C6" s="16">
        <v>1090</v>
      </c>
      <c r="D6" s="17">
        <v>377</v>
      </c>
      <c r="E6" s="17">
        <v>-466</v>
      </c>
      <c r="F6" s="17"/>
      <c r="G6" s="17"/>
      <c r="H6" s="17">
        <v>23</v>
      </c>
      <c r="I6" s="17">
        <f>D6+E6</f>
        <v>-89</v>
      </c>
      <c r="J6" s="17"/>
      <c r="K6" s="17"/>
      <c r="L6" s="17">
        <f>-H6+L5</f>
        <v>-221</v>
      </c>
      <c r="M6" s="17"/>
      <c r="N6" s="17">
        <f>1+N5</f>
        <v>3</v>
      </c>
    </row>
    <row r="7" ht="20.05" customHeight="1">
      <c r="B7" s="32"/>
      <c r="C7" s="16">
        <v>1351</v>
      </c>
      <c r="D7" s="17">
        <v>319</v>
      </c>
      <c r="E7" s="17">
        <v>-181</v>
      </c>
      <c r="F7" s="17"/>
      <c r="G7" s="17"/>
      <c r="H7" s="17">
        <v>-598</v>
      </c>
      <c r="I7" s="17">
        <f>D7+E7</f>
        <v>138</v>
      </c>
      <c r="J7" s="17"/>
      <c r="K7" s="17"/>
      <c r="L7" s="17">
        <f>-H7+L6</f>
        <v>377</v>
      </c>
      <c r="M7" s="17"/>
      <c r="N7" s="17">
        <f>1+N6</f>
        <v>4</v>
      </c>
    </row>
    <row r="8" ht="20.05" customHeight="1">
      <c r="B8" s="33">
        <v>2016</v>
      </c>
      <c r="C8" s="16">
        <v>1313</v>
      </c>
      <c r="D8" s="17">
        <v>249</v>
      </c>
      <c r="E8" s="17">
        <v>-334</v>
      </c>
      <c r="F8" s="17"/>
      <c r="G8" s="17"/>
      <c r="H8" s="17">
        <v>-97</v>
      </c>
      <c r="I8" s="17">
        <f>D8+E8</f>
        <v>-85</v>
      </c>
      <c r="J8" s="17">
        <f>AVERAGE(I5:I8)</f>
        <v>-50.75</v>
      </c>
      <c r="K8" s="17"/>
      <c r="L8" s="17">
        <f>-H8+L7</f>
        <v>474</v>
      </c>
      <c r="M8" s="17"/>
      <c r="N8" s="17">
        <f>1+N7</f>
        <v>5</v>
      </c>
    </row>
    <row r="9" ht="20.05" customHeight="1">
      <c r="B9" s="32"/>
      <c r="C9" s="16">
        <v>1138</v>
      </c>
      <c r="D9" s="17">
        <v>344</v>
      </c>
      <c r="E9" s="17">
        <v>-396</v>
      </c>
      <c r="F9" s="17"/>
      <c r="G9" s="17"/>
      <c r="H9" s="17">
        <v>398</v>
      </c>
      <c r="I9" s="17">
        <f>D9+E9</f>
        <v>-52</v>
      </c>
      <c r="J9" s="17">
        <f>AVERAGE(I6:I9)</f>
        <v>-22</v>
      </c>
      <c r="K9" s="17"/>
      <c r="L9" s="17">
        <f>-H9+L8</f>
        <v>76</v>
      </c>
      <c r="M9" s="17"/>
      <c r="N9" s="17">
        <f>1+N8</f>
        <v>6</v>
      </c>
    </row>
    <row r="10" ht="20.05" customHeight="1">
      <c r="B10" s="32"/>
      <c r="C10" s="16">
        <v>1209</v>
      </c>
      <c r="D10" s="17">
        <v>445</v>
      </c>
      <c r="E10" s="17">
        <v>-285</v>
      </c>
      <c r="F10" s="17"/>
      <c r="G10" s="17"/>
      <c r="H10" s="17">
        <v>-105</v>
      </c>
      <c r="I10" s="17">
        <f>D10+E10</f>
        <v>160</v>
      </c>
      <c r="J10" s="17">
        <f>AVERAGE(I7:I10)</f>
        <v>40.25</v>
      </c>
      <c r="K10" s="17"/>
      <c r="L10" s="17">
        <f>-H10+L9</f>
        <v>181</v>
      </c>
      <c r="M10" s="17"/>
      <c r="N10" s="17">
        <f>1+N9</f>
        <v>7</v>
      </c>
    </row>
    <row r="11" ht="20.05" customHeight="1">
      <c r="B11" s="32"/>
      <c r="C11" s="16">
        <v>1242</v>
      </c>
      <c r="D11" s="17">
        <v>287</v>
      </c>
      <c r="E11" s="17">
        <v>-126</v>
      </c>
      <c r="F11" s="17"/>
      <c r="G11" s="17"/>
      <c r="H11" s="17">
        <v>-31</v>
      </c>
      <c r="I11" s="17">
        <f>D11+E11</f>
        <v>161</v>
      </c>
      <c r="J11" s="17">
        <f>AVERAGE(I8:I11)</f>
        <v>46</v>
      </c>
      <c r="K11" s="17"/>
      <c r="L11" s="17">
        <f>-H11+L10</f>
        <v>212</v>
      </c>
      <c r="M11" s="17"/>
      <c r="N11" s="17">
        <f>1+N10</f>
        <v>8</v>
      </c>
    </row>
    <row r="12" ht="20.05" customHeight="1">
      <c r="B12" s="33">
        <v>2017</v>
      </c>
      <c r="C12" s="16">
        <v>1336</v>
      </c>
      <c r="D12" s="17">
        <v>233</v>
      </c>
      <c r="E12" s="17">
        <v>-111</v>
      </c>
      <c r="F12" s="17"/>
      <c r="G12" s="17"/>
      <c r="H12" s="17">
        <v>304</v>
      </c>
      <c r="I12" s="17">
        <f>D12+E12</f>
        <v>122</v>
      </c>
      <c r="J12" s="17">
        <f>AVERAGE(I9:I12)</f>
        <v>97.75</v>
      </c>
      <c r="K12" s="17"/>
      <c r="L12" s="17">
        <f>-H12+L11</f>
        <v>-92</v>
      </c>
      <c r="M12" s="17"/>
      <c r="N12" s="17">
        <f>1+N11</f>
        <v>9</v>
      </c>
    </row>
    <row r="13" ht="20.05" customHeight="1">
      <c r="B13" s="32"/>
      <c r="C13" s="16">
        <v>1371</v>
      </c>
      <c r="D13" s="17">
        <v>365</v>
      </c>
      <c r="E13" s="17">
        <v>-202</v>
      </c>
      <c r="F13" s="17"/>
      <c r="G13" s="17"/>
      <c r="H13" s="17">
        <v>-239</v>
      </c>
      <c r="I13" s="17">
        <f>D13+E13</f>
        <v>163</v>
      </c>
      <c r="J13" s="17">
        <f>AVERAGE(I10:I13)</f>
        <v>151.5</v>
      </c>
      <c r="K13" s="17"/>
      <c r="L13" s="17">
        <f>-H13+L12</f>
        <v>147</v>
      </c>
      <c r="M13" s="17"/>
      <c r="N13" s="17">
        <f>1+N12</f>
        <v>10</v>
      </c>
    </row>
    <row r="14" ht="20.05" customHeight="1">
      <c r="B14" s="32"/>
      <c r="C14" s="16">
        <v>1575</v>
      </c>
      <c r="D14" s="17">
        <v>650</v>
      </c>
      <c r="E14" s="17">
        <v>-300</v>
      </c>
      <c r="F14" s="17"/>
      <c r="G14" s="17"/>
      <c r="H14" s="17">
        <v>-74</v>
      </c>
      <c r="I14" s="17">
        <f>D14+E14</f>
        <v>350</v>
      </c>
      <c r="J14" s="17">
        <f>AVERAGE(I11:I14)</f>
        <v>199</v>
      </c>
      <c r="K14" s="17"/>
      <c r="L14" s="17">
        <f>-H14+L13</f>
        <v>221</v>
      </c>
      <c r="M14" s="17"/>
      <c r="N14" s="17">
        <f>1+N13</f>
        <v>11</v>
      </c>
    </row>
    <row r="15" ht="20.05" customHeight="1">
      <c r="B15" s="32"/>
      <c r="C15" s="16">
        <v>1679</v>
      </c>
      <c r="D15" s="17">
        <v>1010</v>
      </c>
      <c r="E15" s="17">
        <v>-270</v>
      </c>
      <c r="F15" s="17"/>
      <c r="G15" s="17"/>
      <c r="H15" s="17">
        <v>-397</v>
      </c>
      <c r="I15" s="17">
        <f>D15+E15</f>
        <v>740</v>
      </c>
      <c r="J15" s="17">
        <f>AVERAGE(I12:I15)</f>
        <v>343.75</v>
      </c>
      <c r="K15" s="17"/>
      <c r="L15" s="17">
        <f>-H15+L14</f>
        <v>618</v>
      </c>
      <c r="M15" s="17"/>
      <c r="N15" s="17">
        <f>1+N14</f>
        <v>12</v>
      </c>
    </row>
    <row r="16" ht="20.05" customHeight="1">
      <c r="B16" s="33">
        <v>2018</v>
      </c>
      <c r="C16" s="16">
        <v>1622</v>
      </c>
      <c r="D16" s="17">
        <v>725</v>
      </c>
      <c r="E16" s="17">
        <v>-295</v>
      </c>
      <c r="F16" s="17"/>
      <c r="G16" s="17"/>
      <c r="H16" s="17">
        <v>-95</v>
      </c>
      <c r="I16" s="17">
        <f>D16+E16</f>
        <v>430</v>
      </c>
      <c r="J16" s="17">
        <f>AVERAGE(I13:I16)</f>
        <v>420.75</v>
      </c>
      <c r="K16" s="17"/>
      <c r="L16" s="17">
        <f>-H16+L15</f>
        <v>713</v>
      </c>
      <c r="M16" s="17"/>
      <c r="N16" s="17">
        <f>1+N15</f>
        <v>13</v>
      </c>
    </row>
    <row r="17" ht="20.05" customHeight="1">
      <c r="B17" s="32"/>
      <c r="C17" s="16">
        <v>1428</v>
      </c>
      <c r="D17" s="17">
        <v>350</v>
      </c>
      <c r="E17" s="17">
        <v>-79</v>
      </c>
      <c r="F17" s="17"/>
      <c r="G17" s="17"/>
      <c r="H17" s="17">
        <v>133</v>
      </c>
      <c r="I17" s="17">
        <f>D17+E17</f>
        <v>271</v>
      </c>
      <c r="J17" s="17">
        <f>AVERAGE(I14:I17)</f>
        <v>447.75</v>
      </c>
      <c r="K17" s="17"/>
      <c r="L17" s="17">
        <f>-H17+L16</f>
        <v>580</v>
      </c>
      <c r="M17" s="17"/>
      <c r="N17" s="17">
        <f>1+N16</f>
        <v>14</v>
      </c>
    </row>
    <row r="18" ht="20.05" customHeight="1">
      <c r="B18" s="32"/>
      <c r="C18" s="16">
        <v>1464</v>
      </c>
      <c r="D18" s="17">
        <v>99</v>
      </c>
      <c r="E18" s="17">
        <v>-137</v>
      </c>
      <c r="F18" s="17"/>
      <c r="G18" s="17"/>
      <c r="H18" s="17">
        <v>-270</v>
      </c>
      <c r="I18" s="17">
        <f>D18+E18</f>
        <v>-38</v>
      </c>
      <c r="J18" s="17">
        <f>AVERAGE(I15:I18)</f>
        <v>350.75</v>
      </c>
      <c r="K18" s="17"/>
      <c r="L18" s="17">
        <f>-H18+L17</f>
        <v>850</v>
      </c>
      <c r="M18" s="17"/>
      <c r="N18" s="17">
        <f>1+N17</f>
        <v>15</v>
      </c>
    </row>
    <row r="19" ht="20.05" customHeight="1">
      <c r="B19" s="32"/>
      <c r="C19" s="16">
        <v>1627</v>
      </c>
      <c r="D19" s="17">
        <v>1191</v>
      </c>
      <c r="E19" s="17">
        <v>-277</v>
      </c>
      <c r="F19" s="17"/>
      <c r="G19" s="17"/>
      <c r="H19" s="17">
        <v>-257</v>
      </c>
      <c r="I19" s="17">
        <f>D19+E19</f>
        <v>914</v>
      </c>
      <c r="J19" s="17">
        <f>AVERAGE(I16:I19)</f>
        <v>394.25</v>
      </c>
      <c r="K19" s="17"/>
      <c r="L19" s="17">
        <f>-H19+L18</f>
        <v>1107</v>
      </c>
      <c r="M19" s="17"/>
      <c r="N19" s="17">
        <f>1+N18</f>
        <v>16</v>
      </c>
    </row>
    <row r="20" ht="20.05" customHeight="1">
      <c r="B20" s="33">
        <v>2019</v>
      </c>
      <c r="C20" s="16">
        <v>1523</v>
      </c>
      <c r="D20" s="17">
        <v>698</v>
      </c>
      <c r="E20" s="17">
        <v>-174</v>
      </c>
      <c r="F20" s="17"/>
      <c r="G20" s="17"/>
      <c r="H20" s="17">
        <v>-141</v>
      </c>
      <c r="I20" s="17">
        <f>D20+E20</f>
        <v>524</v>
      </c>
      <c r="J20" s="17">
        <f>AVERAGE(I17:I20)</f>
        <v>417.75</v>
      </c>
      <c r="K20" s="17"/>
      <c r="L20" s="17">
        <f>-H20+L19</f>
        <v>1248</v>
      </c>
      <c r="M20" s="17"/>
      <c r="N20" s="17">
        <f>1+N19</f>
        <v>17</v>
      </c>
    </row>
    <row r="21" ht="20.05" customHeight="1">
      <c r="B21" s="32"/>
      <c r="C21" s="16">
        <v>1513</v>
      </c>
      <c r="D21" s="17">
        <v>565</v>
      </c>
      <c r="E21" s="17">
        <v>-173</v>
      </c>
      <c r="F21" s="17"/>
      <c r="G21" s="17"/>
      <c r="H21" s="17">
        <v>-270</v>
      </c>
      <c r="I21" s="17">
        <f>D21+E21</f>
        <v>392</v>
      </c>
      <c r="J21" s="17">
        <f>AVERAGE(I18:I21)</f>
        <v>448</v>
      </c>
      <c r="K21" s="17"/>
      <c r="L21" s="17">
        <f>-H21+L20</f>
        <v>1518</v>
      </c>
      <c r="M21" s="17"/>
      <c r="N21" s="17">
        <f>1+N20</f>
        <v>18</v>
      </c>
    </row>
    <row r="22" ht="20.05" customHeight="1">
      <c r="B22" s="32"/>
      <c r="C22" s="16">
        <v>1291</v>
      </c>
      <c r="D22" s="17">
        <v>432</v>
      </c>
      <c r="E22" s="17">
        <v>-310</v>
      </c>
      <c r="F22" s="17"/>
      <c r="G22" s="17"/>
      <c r="H22" s="17">
        <v>-511</v>
      </c>
      <c r="I22" s="17">
        <f>D22+E22</f>
        <v>122</v>
      </c>
      <c r="J22" s="17">
        <f>AVERAGE(I19:I22)</f>
        <v>488</v>
      </c>
      <c r="K22" s="17"/>
      <c r="L22" s="17">
        <f>-H22+L21</f>
        <v>2029</v>
      </c>
      <c r="M22" s="17"/>
      <c r="N22" s="17">
        <f>1+N21</f>
        <v>19</v>
      </c>
    </row>
    <row r="23" ht="20.05" customHeight="1">
      <c r="B23" s="32"/>
      <c r="C23" s="16">
        <v>1326</v>
      </c>
      <c r="D23" s="17">
        <v>75</v>
      </c>
      <c r="E23" s="17">
        <v>-229</v>
      </c>
      <c r="F23" s="17"/>
      <c r="G23" s="17"/>
      <c r="H23" s="17">
        <v>-123</v>
      </c>
      <c r="I23" s="17">
        <f>D23+E23</f>
        <v>-154</v>
      </c>
      <c r="J23" s="17">
        <f>AVERAGE(I20:I23)</f>
        <v>221</v>
      </c>
      <c r="K23" s="17"/>
      <c r="L23" s="17">
        <f>-H23+L22</f>
        <v>2152</v>
      </c>
      <c r="M23" s="17"/>
      <c r="N23" s="17">
        <f>1+N22</f>
        <v>20</v>
      </c>
    </row>
    <row r="24" ht="20.05" customHeight="1">
      <c r="B24" s="33">
        <v>2020</v>
      </c>
      <c r="C24" s="16">
        <v>1427.44</v>
      </c>
      <c r="D24" s="17">
        <v>633.17</v>
      </c>
      <c r="E24" s="17">
        <v>-208.57</v>
      </c>
      <c r="F24" s="17"/>
      <c r="G24" s="17"/>
      <c r="H24" s="17">
        <v>-431.48</v>
      </c>
      <c r="I24" s="17">
        <f>D24+E24</f>
        <v>424.6</v>
      </c>
      <c r="J24" s="17">
        <f>AVERAGE(I21:I24)</f>
        <v>196.15</v>
      </c>
      <c r="K24" s="17"/>
      <c r="L24" s="17">
        <f>-H24+L23</f>
        <v>2583.48</v>
      </c>
      <c r="M24" s="17"/>
      <c r="N24" s="17">
        <f>1+N23</f>
        <v>21</v>
      </c>
    </row>
    <row r="25" ht="20.05" customHeight="1">
      <c r="B25" s="32"/>
      <c r="C25" s="16">
        <v>593.5599999999999</v>
      </c>
      <c r="D25" s="17">
        <v>52.1</v>
      </c>
      <c r="E25" s="17">
        <v>-70</v>
      </c>
      <c r="F25" s="17"/>
      <c r="G25" s="17"/>
      <c r="H25" s="17">
        <v>-295.62</v>
      </c>
      <c r="I25" s="17">
        <f>D25+E25</f>
        <v>-17.9</v>
      </c>
      <c r="J25" s="17">
        <f>AVERAGE(I22:I25)</f>
        <v>93.675</v>
      </c>
      <c r="K25" s="17"/>
      <c r="L25" s="17">
        <f>-H25+L24</f>
        <v>2879.1</v>
      </c>
      <c r="M25" s="17"/>
      <c r="N25" s="17">
        <f>1+N24</f>
        <v>22</v>
      </c>
    </row>
    <row r="26" ht="20.05" customHeight="1">
      <c r="B26" s="32"/>
      <c r="C26" s="16">
        <f>2651-C25-C24</f>
        <v>630</v>
      </c>
      <c r="D26" s="17">
        <f>831-D25-D24</f>
        <v>145.73</v>
      </c>
      <c r="E26" s="17">
        <f>-437-E25-E24</f>
        <v>-158.43</v>
      </c>
      <c r="F26" s="17"/>
      <c r="G26" s="17"/>
      <c r="H26" s="17">
        <f>-901-H25-H24</f>
        <v>-173.9</v>
      </c>
      <c r="I26" s="17">
        <f>D26+E26</f>
        <v>-12.7</v>
      </c>
      <c r="J26" s="17">
        <f>AVERAGE(I23:I26)</f>
        <v>60</v>
      </c>
      <c r="K26" s="17"/>
      <c r="L26" s="17">
        <f>-H26+L25</f>
        <v>3053</v>
      </c>
      <c r="M26" s="17"/>
      <c r="N26" s="17">
        <f>1+N25</f>
        <v>23</v>
      </c>
    </row>
    <row r="27" ht="20.05" customHeight="1">
      <c r="B27" s="32"/>
      <c r="C27" s="16">
        <f>3797.7-SUM(C24:C26)</f>
        <v>1146.7</v>
      </c>
      <c r="D27" s="17">
        <f>1419.1-SUM(D24:D26)</f>
        <v>588.1</v>
      </c>
      <c r="E27" s="17">
        <f>-1760.9-SUM(E24:E26)</f>
        <v>-1323.9</v>
      </c>
      <c r="F27" s="17"/>
      <c r="G27" s="17"/>
      <c r="H27" s="17">
        <f>-1084.4-SUM(H24:H26)</f>
        <v>-183.4</v>
      </c>
      <c r="I27" s="17">
        <f>D27+E27</f>
        <v>-735.8</v>
      </c>
      <c r="J27" s="17">
        <f>AVERAGE(I24:I27)</f>
        <v>-85.45</v>
      </c>
      <c r="K27" s="17"/>
      <c r="L27" s="17">
        <f>-H27+L26</f>
        <v>3236.4</v>
      </c>
      <c r="M27" s="17"/>
      <c r="N27" s="17">
        <f>1+N26</f>
        <v>24</v>
      </c>
    </row>
    <row r="28" ht="20.05" customHeight="1">
      <c r="B28" s="33">
        <v>2021</v>
      </c>
      <c r="C28" s="16">
        <v>1126</v>
      </c>
      <c r="D28" s="17">
        <v>522</v>
      </c>
      <c r="E28" s="17">
        <v>-91</v>
      </c>
      <c r="F28" s="17">
        <v>-128.15</v>
      </c>
      <c r="G28" s="17"/>
      <c r="H28" s="17">
        <v>-128</v>
      </c>
      <c r="I28" s="17">
        <f>D28+E28</f>
        <v>431</v>
      </c>
      <c r="J28" s="17">
        <f>AVERAGE(I25:I28)</f>
        <v>-83.84999999999999</v>
      </c>
      <c r="K28" s="17"/>
      <c r="L28" s="17">
        <f>-H28+L27</f>
        <v>3364.4</v>
      </c>
      <c r="M28" s="17"/>
      <c r="N28" s="17">
        <f>1+N27</f>
        <v>25</v>
      </c>
    </row>
    <row r="29" ht="20.05" customHeight="1">
      <c r="B29" s="32"/>
      <c r="C29" s="16">
        <f>2513.2-C28</f>
        <v>1387.2</v>
      </c>
      <c r="D29" s="17">
        <f>1187.7-D28</f>
        <v>665.7</v>
      </c>
      <c r="E29" s="17">
        <f>-117-E28</f>
        <v>-26</v>
      </c>
      <c r="F29" s="17">
        <f>1837.5-F28</f>
        <v>1965.65</v>
      </c>
      <c r="G29" s="17"/>
      <c r="H29" s="17">
        <f>1837.5-H28</f>
        <v>1965.5</v>
      </c>
      <c r="I29" s="17">
        <f>D29+E29</f>
        <v>639.7</v>
      </c>
      <c r="J29" s="17">
        <f>AVERAGE(I26:I29)</f>
        <v>80.55</v>
      </c>
      <c r="K29" s="17"/>
      <c r="L29" s="17">
        <f>-H29+L28</f>
        <v>1398.9</v>
      </c>
      <c r="M29" s="17"/>
      <c r="N29" s="17">
        <f>1+N28</f>
        <v>26</v>
      </c>
    </row>
    <row r="30" ht="20.05" customHeight="1">
      <c r="B30" s="32"/>
      <c r="C30" s="16">
        <f>3410.7-SUM(C28:C29)</f>
        <v>897.5</v>
      </c>
      <c r="D30" s="17">
        <f>1525.6-SUM(D28:D29)</f>
        <v>337.9</v>
      </c>
      <c r="E30" s="17">
        <f>-208.5-SUM(E28,E29)</f>
        <v>-91.5</v>
      </c>
      <c r="F30" s="17">
        <f>1719.2-F29-F28</f>
        <v>-118.3</v>
      </c>
      <c r="G30" s="17"/>
      <c r="H30" s="17">
        <f>1719.2-SUM(H28:H29)</f>
        <v>-118.3</v>
      </c>
      <c r="I30" s="17">
        <f>D30+E30</f>
        <v>246.4</v>
      </c>
      <c r="J30" s="17">
        <f>AVERAGE(I27:I30)</f>
        <v>145.325</v>
      </c>
      <c r="K30" s="17"/>
      <c r="L30" s="17">
        <f>-H30+L29</f>
        <v>1517.2</v>
      </c>
      <c r="M30" s="17"/>
      <c r="N30" s="17">
        <f>1+N29</f>
        <v>27</v>
      </c>
    </row>
    <row r="31" ht="20.05" customHeight="1">
      <c r="B31" s="32"/>
      <c r="C31" s="16">
        <f>4966.3-SUM(C28:C30)</f>
        <v>1555.6</v>
      </c>
      <c r="D31" s="17">
        <f>2238.6-SUM(D28:D30)</f>
        <v>713</v>
      </c>
      <c r="E31" s="17">
        <f>-314-SUM(E28:E30)</f>
        <v>-105.5</v>
      </c>
      <c r="F31" s="17">
        <f>H31-G31</f>
        <v>-93.5</v>
      </c>
      <c r="G31" s="17">
        <v>0</v>
      </c>
      <c r="H31" s="17">
        <f>1625.7-SUM(H28:H30)</f>
        <v>-93.5</v>
      </c>
      <c r="I31" s="17">
        <f>D31+E31</f>
        <v>607.5</v>
      </c>
      <c r="J31" s="17">
        <f>AVERAGE(I28:I31)</f>
        <v>481.15</v>
      </c>
      <c r="K31" s="17"/>
      <c r="L31" s="17">
        <f>-H31+L30</f>
        <v>1610.7</v>
      </c>
      <c r="M31" s="17"/>
      <c r="N31" s="17">
        <f>1+N30</f>
        <v>28</v>
      </c>
    </row>
    <row r="32" ht="20.05" customHeight="1">
      <c r="B32" s="33">
        <v>2022</v>
      </c>
      <c r="C32" s="16">
        <v>1262.6</v>
      </c>
      <c r="D32" s="17">
        <v>729</v>
      </c>
      <c r="E32" s="17">
        <v>-87.7</v>
      </c>
      <c r="F32" s="17">
        <v>-50</v>
      </c>
      <c r="G32" s="17">
        <v>0</v>
      </c>
      <c r="H32" s="17">
        <v>-50</v>
      </c>
      <c r="I32" s="17">
        <f>D32+E32</f>
        <v>641.3</v>
      </c>
      <c r="J32" s="17">
        <f>AVERAGE(I29:I32)</f>
        <v>533.725</v>
      </c>
      <c r="K32" s="17">
        <v>536.182343841044</v>
      </c>
      <c r="L32" s="17">
        <f>-H32+L31</f>
        <v>1660.7</v>
      </c>
      <c r="M32" s="17">
        <v>3983.167093859260</v>
      </c>
      <c r="N32" s="17">
        <f>1+N31</f>
        <v>29</v>
      </c>
    </row>
    <row r="33" ht="20.05" customHeight="1">
      <c r="B33" s="32"/>
      <c r="C33" s="16"/>
      <c r="D33" s="17"/>
      <c r="E33" s="17"/>
      <c r="F33" s="17"/>
      <c r="G33" s="17"/>
      <c r="H33" s="17"/>
      <c r="I33" s="17"/>
      <c r="J33" s="23"/>
      <c r="K33" s="17">
        <f>SUM('Model'!C9:F10)/4</f>
        <v>606.148637326029</v>
      </c>
      <c r="L33" s="23"/>
      <c r="M33" s="17">
        <f>'Model'!F33</f>
        <v>4102.965946041240</v>
      </c>
      <c r="N33" s="17"/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1016" style="37" customWidth="1"/>
    <col min="2" max="2" width="9.25" style="37" customWidth="1"/>
    <col min="3" max="5" width="10.4297" style="37" customWidth="1"/>
    <col min="6" max="11" width="9.53125" style="37" customWidth="1"/>
    <col min="12" max="16384" width="16.3516" style="37" customWidth="1"/>
  </cols>
  <sheetData>
    <row r="1" ht="63.25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24</v>
      </c>
      <c r="G3" t="s" s="5">
        <v>11</v>
      </c>
      <c r="H3" t="s" s="5">
        <v>14</v>
      </c>
      <c r="I3" t="s" s="5">
        <v>58</v>
      </c>
      <c r="J3" t="s" s="5">
        <v>27</v>
      </c>
      <c r="K3" t="s" s="5">
        <v>34</v>
      </c>
    </row>
    <row r="4" ht="21.1" customHeight="1">
      <c r="B4" s="26">
        <v>2015</v>
      </c>
      <c r="C4" s="27">
        <v>2836</v>
      </c>
      <c r="D4" s="29">
        <v>17616</v>
      </c>
      <c r="E4" s="29">
        <f>D4-C4</f>
        <v>14780</v>
      </c>
      <c r="F4" s="29">
        <v>438</v>
      </c>
      <c r="G4" s="29">
        <v>8979</v>
      </c>
      <c r="H4" s="29">
        <v>8637</v>
      </c>
      <c r="I4" s="29">
        <f>G4+H4-C4-E4</f>
        <v>0</v>
      </c>
      <c r="J4" s="29">
        <f>C4-G4</f>
        <v>-6143</v>
      </c>
      <c r="K4" s="29"/>
    </row>
    <row r="5" ht="21.1" customHeight="1">
      <c r="B5" s="32"/>
      <c r="C5" s="16">
        <v>2644</v>
      </c>
      <c r="D5" s="17">
        <v>18334</v>
      </c>
      <c r="E5" s="17">
        <f>D5-C5</f>
        <v>15690</v>
      </c>
      <c r="F5" s="17">
        <v>450</v>
      </c>
      <c r="G5" s="17">
        <v>9454</v>
      </c>
      <c r="H5" s="17">
        <v>8881</v>
      </c>
      <c r="I5" s="17">
        <f>G5+H5-C5-E5</f>
        <v>1</v>
      </c>
      <c r="J5" s="17">
        <f>C5-G5</f>
        <v>-6810</v>
      </c>
      <c r="K5" s="17"/>
    </row>
    <row r="6" ht="21.1" customHeight="1">
      <c r="B6" s="32"/>
      <c r="C6" s="16">
        <v>2650</v>
      </c>
      <c r="D6" s="17">
        <v>19049</v>
      </c>
      <c r="E6" s="17">
        <f>D6-C6</f>
        <v>16399</v>
      </c>
      <c r="F6" s="17">
        <v>461</v>
      </c>
      <c r="G6" s="17">
        <v>10062</v>
      </c>
      <c r="H6" s="17">
        <v>8988</v>
      </c>
      <c r="I6" s="17">
        <f>G6+H6-C6-E6</f>
        <v>1</v>
      </c>
      <c r="J6" s="17">
        <f>C6-G6</f>
        <v>-7412</v>
      </c>
      <c r="K6" s="17"/>
    </row>
    <row r="7" ht="21.1" customHeight="1">
      <c r="B7" s="32"/>
      <c r="C7" s="16">
        <v>2071</v>
      </c>
      <c r="D7" s="17">
        <v>18779</v>
      </c>
      <c r="E7" s="17">
        <f>D7-C7</f>
        <v>16708</v>
      </c>
      <c r="F7" s="17">
        <v>474</v>
      </c>
      <c r="G7" s="17">
        <v>9323</v>
      </c>
      <c r="H7" s="17">
        <v>9455</v>
      </c>
      <c r="I7" s="17">
        <f>G7+H7-C7-E7</f>
        <v>-1</v>
      </c>
      <c r="J7" s="17">
        <f>C7-G7</f>
        <v>-7252</v>
      </c>
      <c r="K7" s="17"/>
    </row>
    <row r="8" ht="21.1" customHeight="1">
      <c r="B8" s="33">
        <v>2016</v>
      </c>
      <c r="C8" s="16">
        <v>1861</v>
      </c>
      <c r="D8" s="17">
        <v>19305</v>
      </c>
      <c r="E8" s="17">
        <f>D8-C8</f>
        <v>17444</v>
      </c>
      <c r="F8" s="17">
        <v>488</v>
      </c>
      <c r="G8" s="17">
        <v>9242</v>
      </c>
      <c r="H8" s="17">
        <v>10063</v>
      </c>
      <c r="I8" s="17">
        <f>G8+H8-C8-E8</f>
        <v>0</v>
      </c>
      <c r="J8" s="17">
        <f>C8-G8</f>
        <v>-7381</v>
      </c>
      <c r="K8" s="17"/>
    </row>
    <row r="9" ht="20.9" customHeight="1">
      <c r="B9" s="32"/>
      <c r="C9" s="16">
        <v>2203</v>
      </c>
      <c r="D9" s="17">
        <v>19902</v>
      </c>
      <c r="E9" s="17">
        <f>D9-C9</f>
        <v>17699</v>
      </c>
      <c r="F9" s="17">
        <v>499</v>
      </c>
      <c r="G9" s="17">
        <v>9703</v>
      </c>
      <c r="H9" s="17">
        <v>10200</v>
      </c>
      <c r="I9" s="17">
        <f>G9+H9-C9-E9</f>
        <v>1</v>
      </c>
      <c r="J9" s="17">
        <f>C9-G9</f>
        <v>-7500</v>
      </c>
      <c r="K9" s="17"/>
    </row>
    <row r="10" ht="20.9" customHeight="1">
      <c r="B10" s="32"/>
      <c r="C10" s="16">
        <v>2254</v>
      </c>
      <c r="D10" s="17">
        <v>20081</v>
      </c>
      <c r="E10" s="17">
        <f>D10-C10</f>
        <v>17827</v>
      </c>
      <c r="F10" s="17">
        <v>520</v>
      </c>
      <c r="G10" s="17">
        <v>9471</v>
      </c>
      <c r="H10" s="17">
        <v>10609</v>
      </c>
      <c r="I10" s="17">
        <f>G10+H10-C10-E10</f>
        <v>-1</v>
      </c>
      <c r="J10" s="17">
        <f>C10-G10</f>
        <v>-7217</v>
      </c>
      <c r="K10" s="17"/>
    </row>
    <row r="11" ht="20.9" customHeight="1">
      <c r="B11" s="32"/>
      <c r="C11" s="16">
        <v>2432</v>
      </c>
      <c r="D11" s="17">
        <v>20674</v>
      </c>
      <c r="E11" s="17">
        <f>D11-C11</f>
        <v>18242</v>
      </c>
      <c r="F11" s="17">
        <v>545</v>
      </c>
      <c r="G11" s="17">
        <v>9654</v>
      </c>
      <c r="H11" s="17">
        <v>11020</v>
      </c>
      <c r="I11" s="17">
        <f>G11+H11-C11-E11</f>
        <v>0</v>
      </c>
      <c r="J11" s="17">
        <f>C11-G11</f>
        <v>-7222</v>
      </c>
      <c r="K11" s="17"/>
    </row>
    <row r="12" ht="20.9" customHeight="1">
      <c r="B12" s="33">
        <v>2017</v>
      </c>
      <c r="C12" s="16">
        <v>2855</v>
      </c>
      <c r="D12" s="17">
        <v>21475</v>
      </c>
      <c r="E12" s="17">
        <f>D12-C12</f>
        <v>18620</v>
      </c>
      <c r="F12" s="17">
        <v>566</v>
      </c>
      <c r="G12" s="17">
        <v>10088</v>
      </c>
      <c r="H12" s="17">
        <v>11386</v>
      </c>
      <c r="I12" s="17">
        <f>G12+H12-C12-E12</f>
        <v>-1</v>
      </c>
      <c r="J12" s="17">
        <f>C12-G12</f>
        <v>-7233</v>
      </c>
      <c r="K12" s="17"/>
    </row>
    <row r="13" ht="20.9" customHeight="1">
      <c r="B13" s="32"/>
      <c r="C13" s="16">
        <v>2781</v>
      </c>
      <c r="D13" s="17">
        <v>21886</v>
      </c>
      <c r="E13" s="17">
        <f>D13-C13</f>
        <v>19105</v>
      </c>
      <c r="F13" s="17">
        <v>594</v>
      </c>
      <c r="G13" s="17">
        <v>10127</v>
      </c>
      <c r="H13" s="17">
        <v>11758</v>
      </c>
      <c r="I13" s="17">
        <f>G13+H13-C13-E13</f>
        <v>-1</v>
      </c>
      <c r="J13" s="17">
        <f>C13-G13</f>
        <v>-7346</v>
      </c>
      <c r="K13" s="17"/>
    </row>
    <row r="14" ht="20.9" customHeight="1">
      <c r="B14" s="32"/>
      <c r="C14" s="16">
        <v>3066</v>
      </c>
      <c r="D14" s="17">
        <v>22537</v>
      </c>
      <c r="E14" s="17">
        <f>D14-C14</f>
        <v>19471</v>
      </c>
      <c r="F14" s="17">
        <v>618</v>
      </c>
      <c r="G14" s="17">
        <v>10211</v>
      </c>
      <c r="H14" s="17">
        <v>12327</v>
      </c>
      <c r="I14" s="17">
        <f>G14+H14-C14-E14</f>
        <v>1</v>
      </c>
      <c r="J14" s="17">
        <f>C14-G14</f>
        <v>-7145</v>
      </c>
      <c r="K14" s="17"/>
    </row>
    <row r="15" ht="20.9" customHeight="1">
      <c r="B15" s="32"/>
      <c r="C15" s="16">
        <v>3406</v>
      </c>
      <c r="D15" s="17">
        <v>23359</v>
      </c>
      <c r="E15" s="17">
        <f>D15-C15</f>
        <v>19953</v>
      </c>
      <c r="F15" s="17">
        <v>644</v>
      </c>
      <c r="G15" s="17">
        <v>10567</v>
      </c>
      <c r="H15" s="17">
        <v>12791</v>
      </c>
      <c r="I15" s="17">
        <f>G15+H15-C15-E15</f>
        <v>-1</v>
      </c>
      <c r="J15" s="17">
        <f>C15-G15</f>
        <v>-7161</v>
      </c>
      <c r="K15" s="17"/>
    </row>
    <row r="16" ht="20.9" customHeight="1">
      <c r="B16" s="33">
        <v>2018</v>
      </c>
      <c r="C16" s="16">
        <v>3734</v>
      </c>
      <c r="D16" s="17">
        <v>23872</v>
      </c>
      <c r="E16" s="17">
        <f>D16-C16</f>
        <v>20138</v>
      </c>
      <c r="F16" s="17">
        <v>668</v>
      </c>
      <c r="G16" s="17">
        <v>10441</v>
      </c>
      <c r="H16" s="17">
        <v>13431</v>
      </c>
      <c r="I16" s="17">
        <f>G16+H16-C16-E16</f>
        <v>0</v>
      </c>
      <c r="J16" s="17">
        <f>C16-G16</f>
        <v>-6707</v>
      </c>
      <c r="K16" s="17"/>
    </row>
    <row r="17" ht="20.9" customHeight="1">
      <c r="B17" s="32"/>
      <c r="C17" s="16">
        <v>4320</v>
      </c>
      <c r="D17" s="17">
        <v>24470</v>
      </c>
      <c r="E17" s="17">
        <f>D17-C17</f>
        <v>20150</v>
      </c>
      <c r="F17" s="17">
        <v>692</v>
      </c>
      <c r="G17" s="17">
        <v>10718</v>
      </c>
      <c r="H17" s="17">
        <v>13753</v>
      </c>
      <c r="I17" s="17">
        <f>G17+H17-C17-E17</f>
        <v>1</v>
      </c>
      <c r="J17" s="17">
        <f>C17-G17</f>
        <v>-6398</v>
      </c>
      <c r="K17" s="17"/>
    </row>
    <row r="18" ht="20.9" customHeight="1">
      <c r="B18" s="32"/>
      <c r="C18" s="16">
        <v>4124</v>
      </c>
      <c r="D18" s="17">
        <v>24617</v>
      </c>
      <c r="E18" s="17">
        <f>D18-C18</f>
        <v>20493</v>
      </c>
      <c r="F18" s="17">
        <v>709</v>
      </c>
      <c r="G18" s="17">
        <v>10142</v>
      </c>
      <c r="H18" s="17">
        <v>14475</v>
      </c>
      <c r="I18" s="17">
        <f>G18+H18-C18-E18</f>
        <v>0</v>
      </c>
      <c r="J18" s="17">
        <f>C18-G18</f>
        <v>-6018</v>
      </c>
      <c r="K18" s="17"/>
    </row>
    <row r="19" ht="20.9" customHeight="1">
      <c r="B19" s="32"/>
      <c r="C19" s="16">
        <v>4460</v>
      </c>
      <c r="D19" s="17">
        <v>25018</v>
      </c>
      <c r="E19" s="17">
        <f>D19-C19</f>
        <v>20558</v>
      </c>
      <c r="F19" s="17">
        <v>743</v>
      </c>
      <c r="G19" s="17">
        <v>9706</v>
      </c>
      <c r="H19" s="17">
        <v>15312</v>
      </c>
      <c r="I19" s="17">
        <f>G19+H19-C19-E19</f>
        <v>0</v>
      </c>
      <c r="J19" s="17">
        <f>C19-G19</f>
        <v>-5246</v>
      </c>
      <c r="K19" s="17"/>
    </row>
    <row r="20" ht="20.9" customHeight="1">
      <c r="B20" s="33">
        <v>2019</v>
      </c>
      <c r="C20" s="16">
        <v>4793</v>
      </c>
      <c r="D20" s="17">
        <v>25458</v>
      </c>
      <c r="E20" s="17">
        <f>D20-C20</f>
        <v>20665</v>
      </c>
      <c r="F20" s="17">
        <v>764</v>
      </c>
      <c r="G20" s="17">
        <v>9286</v>
      </c>
      <c r="H20" s="17">
        <v>16173</v>
      </c>
      <c r="I20" s="17">
        <f>G20+H20-C20-E20</f>
        <v>1</v>
      </c>
      <c r="J20" s="17">
        <f>C20-G20</f>
        <v>-4493</v>
      </c>
      <c r="K20" s="17"/>
    </row>
    <row r="21" ht="20.9" customHeight="1">
      <c r="B21" s="32"/>
      <c r="C21" s="16">
        <v>4894</v>
      </c>
      <c r="D21" s="17">
        <v>25577</v>
      </c>
      <c r="E21" s="17">
        <f>D21-C21</f>
        <v>20683</v>
      </c>
      <c r="F21" s="17">
        <f>2225+788</f>
        <v>3013</v>
      </c>
      <c r="G21" s="17">
        <v>9078</v>
      </c>
      <c r="H21" s="17">
        <v>16500</v>
      </c>
      <c r="I21" s="17">
        <f>G21+H21-C21-E21</f>
        <v>1</v>
      </c>
      <c r="J21" s="17">
        <f>C21-G21</f>
        <v>-4184</v>
      </c>
      <c r="K21" s="17"/>
    </row>
    <row r="22" ht="20.9" customHeight="1">
      <c r="B22" s="32"/>
      <c r="C22" s="16">
        <v>4507</v>
      </c>
      <c r="D22" s="17">
        <v>25656</v>
      </c>
      <c r="E22" s="17">
        <f>D22-C22</f>
        <v>21149</v>
      </c>
      <c r="F22" s="17">
        <f>2490+811</f>
        <v>3301</v>
      </c>
      <c r="G22" s="17">
        <v>8295</v>
      </c>
      <c r="H22" s="17">
        <v>17361</v>
      </c>
      <c r="I22" s="17">
        <f>G22+H22-C22-E22</f>
        <v>0</v>
      </c>
      <c r="J22" s="17">
        <f>C22-G22</f>
        <v>-3788</v>
      </c>
      <c r="K22" s="22"/>
    </row>
    <row r="23" ht="20.9" customHeight="1">
      <c r="B23" s="32"/>
      <c r="C23" s="16">
        <v>4313</v>
      </c>
      <c r="D23" s="17">
        <v>26095</v>
      </c>
      <c r="E23" s="17">
        <f>D23-C23</f>
        <v>21782</v>
      </c>
      <c r="F23" s="17">
        <f>2599+840</f>
        <v>3439</v>
      </c>
      <c r="G23" s="17">
        <v>7999</v>
      </c>
      <c r="H23" s="17">
        <v>18096</v>
      </c>
      <c r="I23" s="17">
        <f>G23+H23-C23-E23</f>
        <v>0</v>
      </c>
      <c r="J23" s="17">
        <f>C23-G23</f>
        <v>-3686</v>
      </c>
      <c r="K23" s="22"/>
    </row>
    <row r="24" ht="20.9" customHeight="1">
      <c r="B24" s="33">
        <v>2020</v>
      </c>
      <c r="C24" s="16">
        <v>4373</v>
      </c>
      <c r="D24" s="17">
        <v>26562</v>
      </c>
      <c r="E24" s="17">
        <f>D24-C24</f>
        <v>22189</v>
      </c>
      <c r="F24" s="17">
        <f>2692+877</f>
        <v>3569</v>
      </c>
      <c r="G24" s="17">
        <v>9801</v>
      </c>
      <c r="H24" s="17">
        <v>16761</v>
      </c>
      <c r="I24" s="17">
        <f>G24+H24-C24-E24</f>
        <v>0</v>
      </c>
      <c r="J24" s="17">
        <f>C24-G24</f>
        <v>-5428</v>
      </c>
      <c r="K24" s="22"/>
    </row>
    <row r="25" ht="20.9" customHeight="1">
      <c r="B25" s="32"/>
      <c r="C25" s="16">
        <v>4003</v>
      </c>
      <c r="D25" s="17">
        <v>26493</v>
      </c>
      <c r="E25" s="17">
        <f>D25-C25</f>
        <v>22490</v>
      </c>
      <c r="F25" s="17">
        <f>2786+911</f>
        <v>3697</v>
      </c>
      <c r="G25" s="17">
        <v>9459</v>
      </c>
      <c r="H25" s="17">
        <v>17034</v>
      </c>
      <c r="I25" s="17">
        <f>G25+H25-C25-E25</f>
        <v>0</v>
      </c>
      <c r="J25" s="17">
        <f>C25-G25</f>
        <v>-5456</v>
      </c>
      <c r="K25" s="22"/>
    </row>
    <row r="26" ht="20.9" customHeight="1">
      <c r="B26" s="32"/>
      <c r="C26" s="16">
        <v>3834</v>
      </c>
      <c r="D26" s="17">
        <v>26046</v>
      </c>
      <c r="E26" s="17">
        <f>D26-C26</f>
        <v>22212</v>
      </c>
      <c r="F26" s="17">
        <f>2892+949</f>
        <v>3841</v>
      </c>
      <c r="G26" s="17">
        <v>8808</v>
      </c>
      <c r="H26" s="17">
        <v>17238</v>
      </c>
      <c r="I26" s="17">
        <f>G26+H26-C26-E26</f>
        <v>0</v>
      </c>
      <c r="J26" s="17">
        <f>C26-G26</f>
        <v>-4974</v>
      </c>
      <c r="K26" s="34"/>
    </row>
    <row r="27" ht="20.9" customHeight="1">
      <c r="B27" s="32"/>
      <c r="C27" s="16">
        <v>2887</v>
      </c>
      <c r="D27" s="17">
        <v>26459</v>
      </c>
      <c r="E27" s="17">
        <f>D27-C27</f>
        <v>23572</v>
      </c>
      <c r="F27" s="17">
        <f>3007+978</f>
        <v>3985</v>
      </c>
      <c r="G27" s="17">
        <v>8860</v>
      </c>
      <c r="H27" s="17">
        <v>17599</v>
      </c>
      <c r="I27" s="17">
        <f>G27+H27-C27-E27</f>
        <v>0</v>
      </c>
      <c r="J27" s="17">
        <f>C27-G27</f>
        <v>-5973</v>
      </c>
      <c r="K27" s="22"/>
    </row>
    <row r="28" ht="20.9" customHeight="1">
      <c r="B28" s="33">
        <v>2021</v>
      </c>
      <c r="C28" s="16">
        <v>3195</v>
      </c>
      <c r="D28" s="17">
        <v>26663</v>
      </c>
      <c r="E28" s="17">
        <f>D28-C28</f>
        <v>23468</v>
      </c>
      <c r="F28" s="17">
        <f>3129+1011</f>
        <v>4140</v>
      </c>
      <c r="G28" s="17">
        <v>8809</v>
      </c>
      <c r="H28" s="17">
        <v>17853</v>
      </c>
      <c r="I28" s="17">
        <f>G28+H28-C28-E28</f>
        <v>-1</v>
      </c>
      <c r="J28" s="17">
        <f>C28-G28</f>
        <v>-5614</v>
      </c>
      <c r="K28" s="17"/>
    </row>
    <row r="29" ht="20.9" customHeight="1">
      <c r="B29" s="32"/>
      <c r="C29" s="16">
        <v>5802</v>
      </c>
      <c r="D29" s="17">
        <v>29036</v>
      </c>
      <c r="E29" s="17">
        <f>D29-C29</f>
        <v>23234</v>
      </c>
      <c r="F29" s="17">
        <f>3247+1055</f>
        <v>4302</v>
      </c>
      <c r="G29" s="17">
        <v>10911</v>
      </c>
      <c r="H29" s="17">
        <v>18125</v>
      </c>
      <c r="I29" s="17">
        <f>G29+H29-C29-E29</f>
        <v>0</v>
      </c>
      <c r="J29" s="17">
        <f>C29-G29</f>
        <v>-5109</v>
      </c>
      <c r="K29" s="17"/>
    </row>
    <row r="30" ht="20.9" customHeight="1">
      <c r="B30" s="32"/>
      <c r="C30" s="16">
        <v>5927</v>
      </c>
      <c r="D30" s="17">
        <v>28675</v>
      </c>
      <c r="E30" s="17">
        <f>D30-C30</f>
        <v>22748</v>
      </c>
      <c r="F30" s="17">
        <f>3366+1097</f>
        <v>4463</v>
      </c>
      <c r="G30" s="17">
        <v>10275</v>
      </c>
      <c r="H30" s="17">
        <v>18400</v>
      </c>
      <c r="I30" s="17">
        <f>G30+H30-C30-E30</f>
        <v>0</v>
      </c>
      <c r="J30" s="17">
        <f>C30-G30</f>
        <v>-4348</v>
      </c>
      <c r="K30" s="17"/>
    </row>
    <row r="31" ht="20.9" customHeight="1">
      <c r="B31" s="32"/>
      <c r="C31" s="16">
        <v>6444</v>
      </c>
      <c r="D31" s="17">
        <v>28866</v>
      </c>
      <c r="E31" s="17">
        <f>D31-C31</f>
        <v>22422</v>
      </c>
      <c r="F31" s="17">
        <f>3484+1141</f>
        <v>4625</v>
      </c>
      <c r="G31" s="17">
        <v>9688</v>
      </c>
      <c r="H31" s="17">
        <v>19178</v>
      </c>
      <c r="I31" s="17">
        <f>G31+H31-C31-E31</f>
        <v>0</v>
      </c>
      <c r="J31" s="17">
        <f>C31-G31</f>
        <v>-3244</v>
      </c>
      <c r="K31" s="17"/>
    </row>
    <row r="32" ht="20.9" customHeight="1">
      <c r="B32" s="33">
        <v>2022</v>
      </c>
      <c r="C32" s="16">
        <v>7038</v>
      </c>
      <c r="D32" s="17">
        <v>29334</v>
      </c>
      <c r="E32" s="17">
        <f>D32-C32</f>
        <v>22296</v>
      </c>
      <c r="F32" s="17">
        <f>3603+1184</f>
        <v>4787</v>
      </c>
      <c r="G32" s="17">
        <v>9747</v>
      </c>
      <c r="H32" s="17">
        <v>19587</v>
      </c>
      <c r="I32" s="17">
        <f>G32+H32-C32-E32</f>
        <v>0</v>
      </c>
      <c r="J32" s="17">
        <f>C32-G32</f>
        <v>-2709</v>
      </c>
      <c r="K32" s="17">
        <v>-2763.289437245080</v>
      </c>
    </row>
    <row r="33" ht="20.9" customHeight="1">
      <c r="B33" s="32"/>
      <c r="C33" s="16"/>
      <c r="D33" s="17"/>
      <c r="E33" s="17"/>
      <c r="F33" s="17"/>
      <c r="G33" s="17"/>
      <c r="H33" s="17"/>
      <c r="I33" s="17"/>
      <c r="J33" s="17"/>
      <c r="K33" s="17">
        <f>'Model'!F31</f>
        <v>-918.663815487120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/>
  </sheetViews>
  <sheetFormatPr defaultColWidth="8.33333" defaultRowHeight="19.9" customHeight="1" outlineLevelRow="0" outlineLevelCol="0"/>
  <cols>
    <col min="1" max="1" width="25.4766" style="38" customWidth="1"/>
    <col min="2" max="2" width="7.25781" style="38" customWidth="1"/>
    <col min="3" max="4" width="9.04688" style="38" customWidth="1"/>
    <col min="5" max="16384" width="8.35156" style="38" customWidth="1"/>
  </cols>
  <sheetData>
    <row r="1" ht="98.6" customHeight="1"/>
    <row r="2" ht="27.65" customHeight="1">
      <c r="B2" t="s" s="2">
        <v>59</v>
      </c>
      <c r="C2" s="2"/>
      <c r="D2" s="2"/>
    </row>
    <row r="3" ht="20.25" customHeight="1">
      <c r="B3" t="s" s="39">
        <v>60</v>
      </c>
      <c r="C3" t="s" s="39">
        <v>61</v>
      </c>
      <c r="D3" t="s" s="39">
        <v>62</v>
      </c>
    </row>
    <row r="4" ht="20.25" customHeight="1">
      <c r="B4" s="40">
        <v>2018</v>
      </c>
      <c r="C4" s="41">
        <v>630</v>
      </c>
      <c r="D4" s="42"/>
    </row>
    <row r="5" ht="20.05" customHeight="1">
      <c r="B5" s="43"/>
      <c r="C5" s="44">
        <v>530</v>
      </c>
      <c r="D5" s="45"/>
    </row>
    <row r="6" ht="20.05" customHeight="1">
      <c r="B6" s="43"/>
      <c r="C6" s="44">
        <v>515</v>
      </c>
      <c r="D6" s="45"/>
    </row>
    <row r="7" ht="20.05" customHeight="1">
      <c r="B7" s="43"/>
      <c r="C7" s="44">
        <v>620</v>
      </c>
      <c r="D7" s="45"/>
    </row>
    <row r="8" ht="20.05" customHeight="1">
      <c r="B8" s="46">
        <v>2019</v>
      </c>
      <c r="C8" s="44">
        <v>690</v>
      </c>
      <c r="D8" s="45"/>
    </row>
    <row r="9" ht="20.05" customHeight="1">
      <c r="B9" s="43"/>
      <c r="C9" s="44">
        <v>730</v>
      </c>
      <c r="D9" s="45"/>
    </row>
    <row r="10" ht="20.05" customHeight="1">
      <c r="B10" s="43"/>
      <c r="C10" s="44">
        <v>665</v>
      </c>
      <c r="D10" s="45"/>
    </row>
    <row r="11" ht="20.05" customHeight="1">
      <c r="B11" s="43"/>
      <c r="C11" s="44">
        <v>570</v>
      </c>
      <c r="D11" s="45"/>
    </row>
    <row r="12" ht="20.05" customHeight="1">
      <c r="B12" s="46">
        <v>2020</v>
      </c>
      <c r="C12" s="44">
        <v>312</v>
      </c>
      <c r="D12" s="45"/>
    </row>
    <row r="13" ht="20.05" customHeight="1">
      <c r="B13" s="43"/>
      <c r="C13" s="44">
        <v>416</v>
      </c>
      <c r="D13" s="45"/>
    </row>
    <row r="14" ht="20.05" customHeight="1">
      <c r="B14" s="43"/>
      <c r="C14" s="47">
        <v>354</v>
      </c>
      <c r="D14" s="45"/>
    </row>
    <row r="15" ht="20.05" customHeight="1">
      <c r="B15" s="43"/>
      <c r="C15" s="47">
        <v>510</v>
      </c>
      <c r="D15" s="45"/>
    </row>
    <row r="16" ht="20.05" customHeight="1">
      <c r="B16" s="46">
        <v>2021</v>
      </c>
      <c r="C16" s="47">
        <v>540</v>
      </c>
      <c r="D16" s="45"/>
    </row>
    <row r="17" ht="20.05" customHeight="1">
      <c r="B17" s="43"/>
      <c r="C17" s="47">
        <v>440</v>
      </c>
      <c r="D17" s="45"/>
    </row>
    <row r="18" ht="20.05" customHeight="1">
      <c r="B18" s="43"/>
      <c r="C18" s="47">
        <v>484</v>
      </c>
      <c r="D18" s="45"/>
    </row>
    <row r="19" ht="20.05" customHeight="1">
      <c r="B19" s="43"/>
      <c r="C19" s="47">
        <v>464</v>
      </c>
      <c r="D19" s="45"/>
    </row>
    <row r="20" ht="20.05" customHeight="1">
      <c r="B20" s="46">
        <v>2022</v>
      </c>
      <c r="C20" s="47">
        <v>484</v>
      </c>
      <c r="D20" s="45"/>
    </row>
    <row r="21" ht="20.05" customHeight="1">
      <c r="B21" s="43"/>
      <c r="C21" s="47">
        <v>505</v>
      </c>
      <c r="D21" s="48">
        <v>610.138529198431</v>
      </c>
    </row>
    <row r="22" ht="20.05" customHeight="1">
      <c r="B22" s="43"/>
      <c r="C22" s="47"/>
      <c r="D22" s="48">
        <f>'Model'!F44</f>
        <v>704.829841592671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