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<sst xmlns="http://schemas.openxmlformats.org/spreadsheetml/2006/main" uniqueCount="60">
  <si>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</si>
  <si>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</si>
  <si>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</si>
  <si>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</si>
  <si>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</si>
  <si>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</si>
  <si>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</si>
  <si>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</si>
  <si>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</si>
  <si>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</si>
  <si>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</si>
  <si>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</si>
  <si>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</si>
  <si>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</si>
  <si>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</si>
  <si>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</si>
  <si>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</si>
  <si>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</si>
  <si>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</si>
  <si>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</si>
  <si>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</si>
  <si>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</si>
  <si>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>JVs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</si>
  <si>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</si>
  <si>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</si>
  <si>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</si>
  <si>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</si>
  <si>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</si>
  <si>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</si>
  <si>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</si>
  <si>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</si>
  <si>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</si>
  <si>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</si>
  <si>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</si>
  <si>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</si>
  <si>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</si>
  <si>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</si>
  <si>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</si>
  <si>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</si>
  <si>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</si>
  <si>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</si>
  <si>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</si>
  <si>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</si>
  <si>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</si>
  <si>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</si>
  <si>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>JV</t>
  </si>
  <si>
    <t xml:space="preserve">Sales growth </t>
  </si>
  <si>
    <t xml:space="preserve">Cost ratio </t>
  </si>
  <si>
    <t xml:space="preserve">Receipts </t>
  </si>
  <si>
    <t xml:space="preserve">Operating </t>
  </si>
  <si>
    <t xml:space="preserve">Investment </t>
  </si>
  <si>
    <t xml:space="preserve">Free cashflow </t>
  </si>
  <si>
    <t>Cash</t>
  </si>
  <si>
    <t>Assets</t>
  </si>
  <si>
    <t>Check</t>
  </si>
  <si>
    <t>Net cash</t>
  </si>
  <si>
    <t>PTBA share trading</t>
  </si>
  <si>
    <t>PTBA</t>
  </si>
  <si>
    <t>Capital</t>
  </si>
  <si>
    <t xml:space="preserve">Total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</si>
</sst>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58049"/>
          <c:y val="0.0446026"/>
          <c:w val="0.802281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'Capital'!$E$3:$E$17</c:f>
              <c:numCache>
                <c:ptCount val="1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0.000000</c:v>
                </c:pt>
                <c:pt idx="4">
                  <c:v>5.000000</c:v>
                </c:pt>
                <c:pt idx="5">
                  <c:v>50.000000</c:v>
                </c:pt>
                <c:pt idx="6">
                  <c:v>84.000000</c:v>
                </c:pt>
                <c:pt idx="7">
                  <c:v>1834.000000</c:v>
                </c:pt>
                <c:pt idx="8">
                  <c:v>1193.000000</c:v>
                </c:pt>
                <c:pt idx="9">
                  <c:v>840.000000</c:v>
                </c:pt>
                <c:pt idx="10">
                  <c:v>-431.000000</c:v>
                </c:pt>
                <c:pt idx="11">
                  <c:v>-444.000000</c:v>
                </c:pt>
                <c:pt idx="12">
                  <c:v>-594.000000</c:v>
                </c:pt>
                <c:pt idx="13">
                  <c:v>-644.000000</c:v>
                </c:pt>
                <c:pt idx="14">
                  <c:v>-804.000000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'Capital'!$F$3:$F$17</c:f>
              <c:numCache>
                <c:ptCount val="15"/>
                <c:pt idx="0">
                  <c:v>-243.000000</c:v>
                </c:pt>
                <c:pt idx="1">
                  <c:v>-623.000000</c:v>
                </c:pt>
                <c:pt idx="2">
                  <c:v>-1631.000000</c:v>
                </c:pt>
                <c:pt idx="3">
                  <c:v>-2867.000000</c:v>
                </c:pt>
                <c:pt idx="4">
                  <c:v>-4149.000000</c:v>
                </c:pt>
                <c:pt idx="5">
                  <c:v>-5955.000000</c:v>
                </c:pt>
                <c:pt idx="6">
                  <c:v>-9266.000000</c:v>
                </c:pt>
                <c:pt idx="7">
                  <c:v>-10277.000000</c:v>
                </c:pt>
                <c:pt idx="8">
                  <c:v>-11385.000000</c:v>
                </c:pt>
                <c:pt idx="9">
                  <c:v>-11996.000000</c:v>
                </c:pt>
                <c:pt idx="10">
                  <c:v>-12608.000000</c:v>
                </c:pt>
                <c:pt idx="11">
                  <c:v>-16000.000000</c:v>
                </c:pt>
                <c:pt idx="12">
                  <c:v>-17691.000000</c:v>
                </c:pt>
                <c:pt idx="13">
                  <c:v>-21365.000000</c:v>
                </c:pt>
                <c:pt idx="14">
                  <c:v>-21535.000000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'Capital'!$A$3:$A$17</c:f>
              <c:strCach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strCache>
            </c:strRef>
          </c:cat>
          <c:val>
            <c:numRef>
              <c:f>'Capital'!$G$3:$G$17</c:f>
              <c:numCache>
                <c:ptCount val="15"/>
                <c:pt idx="0">
                  <c:v>-243.000000</c:v>
                </c:pt>
                <c:pt idx="1">
                  <c:v>-623.000000</c:v>
                </c:pt>
                <c:pt idx="2">
                  <c:v>-1631.000000</c:v>
                </c:pt>
                <c:pt idx="3">
                  <c:v>-2867.000000</c:v>
                </c:pt>
                <c:pt idx="4">
                  <c:v>-4144.000000</c:v>
                </c:pt>
                <c:pt idx="5">
                  <c:v>-5905.000000</c:v>
                </c:pt>
                <c:pt idx="6">
                  <c:v>-9182.000000</c:v>
                </c:pt>
                <c:pt idx="7">
                  <c:v>-8443.000000</c:v>
                </c:pt>
                <c:pt idx="8">
                  <c:v>-10192.000000</c:v>
                </c:pt>
                <c:pt idx="9">
                  <c:v>-11156.000000</c:v>
                </c:pt>
                <c:pt idx="10">
                  <c:v>-13039.000000</c:v>
                </c:pt>
                <c:pt idx="11">
                  <c:v>-16444.000000</c:v>
                </c:pt>
                <c:pt idx="12">
                  <c:v>-18285.000000</c:v>
                </c:pt>
                <c:pt idx="13">
                  <c:v>-22009.000000</c:v>
                </c:pt>
                <c:pt idx="14">
                  <c:v>-22339.000000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9375"/>
        <c:minorUnit val="4687.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15836"/>
          <c:y val="0.0560822"/>
          <c:w val="0.34466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402127</xdr:colOff>
      <xdr:row>1</xdr:row>
      <xdr:rowOff>80721</xdr:rowOff>
    </xdr:from>
    <xdr:to>
      <xdr:col>14</xdr:col>
      <xdr:colOff>267370</xdr:colOff>
      <xdr:row>50</xdr:row>
      <xdr:rowOff>126673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34427" y="378536"/>
          <a:ext cx="9822044" cy="126246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647700</xdr:colOff>
      <xdr:row>23</xdr:row>
      <xdr:rowOff>27058</xdr:rowOff>
    </xdr:from>
    <xdr:to>
      <xdr:col>4</xdr:col>
      <xdr:colOff>811720</xdr:colOff>
      <xdr:row>36</xdr:row>
      <xdr:rowOff>78683</xdr:rowOff>
    </xdr:to>
    <xdr:graphicFrame>
      <xdr:nvGraphicFramePr>
        <xdr:cNvPr id="4" name="2D Line Chart"/>
        <xdr:cNvGraphicFramePr/>
      </xdr:nvGraphicFramePr>
      <xdr:xfrm>
        <a:off x="647699" y="5973833"/>
        <a:ext cx="3720022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383445</xdr:colOff>
      <xdr:row>18</xdr:row>
      <xdr:rowOff>73392</xdr:rowOff>
    </xdr:from>
    <xdr:to>
      <xdr:col>5</xdr:col>
      <xdr:colOff>627347</xdr:colOff>
      <xdr:row>23</xdr:row>
      <xdr:rowOff>230444</xdr:rowOff>
    </xdr:to>
    <xdr:sp>
      <xdr:nvSpPr>
        <xdr:cNvPr id="5" name="PTBA 22 TRILLION RUPIAH PAID VS 32 TRILLION MARKET CAP"/>
        <xdr:cNvSpPr txBox="1"/>
      </xdr:nvSpPr>
      <xdr:spPr>
        <a:xfrm>
          <a:off x="383445" y="4756517"/>
          <a:ext cx="4688903" cy="14207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PTBA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22</a:t>
          </a: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TRILLION RUPIAH PAID VS 32 TRILLION MARKET CAP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5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3125" style="1" customWidth="1"/>
    <col min="2" max="2" width="14.7656" style="1" customWidth="1"/>
    <col min="3" max="6" width="9.03125" style="1" customWidth="1"/>
    <col min="7" max="16384" width="16.3516" style="1" customWidth="1"/>
  </cols>
  <sheetData>
    <row r="1" ht="23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AVERAGE('Sales'!H29:H32)</f>
        <v>0.234294441317939</v>
      </c>
      <c r="D4" s="8"/>
      <c r="E4" s="8"/>
      <c r="F4" s="9">
        <f>AVERAGE(C5:F5)</f>
        <v>0.06</v>
      </c>
    </row>
    <row r="5" ht="20.05" customHeight="1">
      <c r="B5" t="s" s="10">
        <v>4</v>
      </c>
      <c r="C5" s="11">
        <v>0.25</v>
      </c>
      <c r="D5" s="12">
        <v>0</v>
      </c>
      <c r="E5" s="12">
        <v>0.01</v>
      </c>
      <c r="F5" s="12">
        <v>-0.02</v>
      </c>
    </row>
    <row r="6" ht="20.05" customHeight="1">
      <c r="B6" t="s" s="10">
        <v>5</v>
      </c>
      <c r="C6" s="13">
        <f>'Sales'!C32*(1+C5)</f>
        <v>10256.25</v>
      </c>
      <c r="D6" s="14">
        <f>C6*(1+D5)</f>
        <v>10256.25</v>
      </c>
      <c r="E6" s="14">
        <f>D6*(1+E5)</f>
        <v>10358.8125</v>
      </c>
      <c r="F6" s="14">
        <f>E6*(1+F5)</f>
        <v>10151.63625</v>
      </c>
    </row>
    <row r="7" ht="20.05" customHeight="1">
      <c r="B7" t="s" s="10">
        <v>6</v>
      </c>
      <c r="C7" s="15">
        <f>AVERAGE('Sales'!J32)</f>
        <v>-0.679662536500697</v>
      </c>
      <c r="D7" s="16">
        <f>C7</f>
        <v>-0.679662536500697</v>
      </c>
      <c r="E7" s="16">
        <f>D7</f>
        <v>-0.679662536500697</v>
      </c>
      <c r="F7" s="16">
        <f>E7</f>
        <v>-0.679662536500697</v>
      </c>
    </row>
    <row r="8" ht="20.05" customHeight="1">
      <c r="B8" t="s" s="10">
        <v>7</v>
      </c>
      <c r="C8" s="17">
        <f>C7*C6</f>
        <v>-6970.788889985270</v>
      </c>
      <c r="D8" s="18">
        <f>D7*D6</f>
        <v>-6970.788889985270</v>
      </c>
      <c r="E8" s="18">
        <f>E7*E6</f>
        <v>-7040.496778885130</v>
      </c>
      <c r="F8" s="18">
        <f>F7*F6</f>
        <v>-6899.686843307420</v>
      </c>
    </row>
    <row r="9" ht="20.05" customHeight="1">
      <c r="B9" t="s" s="10">
        <v>8</v>
      </c>
      <c r="C9" s="17">
        <f>C6+C8</f>
        <v>3285.461110014730</v>
      </c>
      <c r="D9" s="18">
        <f>D6+D8</f>
        <v>3285.461110014730</v>
      </c>
      <c r="E9" s="18">
        <f>E6+E8</f>
        <v>3318.315721114870</v>
      </c>
      <c r="F9" s="18">
        <f>F6+F8</f>
        <v>3251.949406692580</v>
      </c>
    </row>
    <row r="10" ht="20.05" customHeight="1">
      <c r="B10" t="s" s="10">
        <v>9</v>
      </c>
      <c r="C10" s="17">
        <f>AVERAGE('Cashflow'!E26)</f>
        <v>-1005</v>
      </c>
      <c r="D10" s="18">
        <f>C10</f>
        <v>-1005</v>
      </c>
      <c r="E10" s="18">
        <f>D10</f>
        <v>-1005</v>
      </c>
      <c r="F10" s="18">
        <f>E10</f>
        <v>-1005</v>
      </c>
    </row>
    <row r="11" ht="20.05" customHeight="1">
      <c r="B11" t="s" s="10">
        <v>10</v>
      </c>
      <c r="C11" s="17">
        <f>AVERAGE('Cashflow'!F29:F32)</f>
        <v>-123.5</v>
      </c>
      <c r="D11" s="18">
        <f>C11</f>
        <v>-123.5</v>
      </c>
      <c r="E11" s="18">
        <f>D11</f>
        <v>-123.5</v>
      </c>
      <c r="F11" s="18">
        <f>E11</f>
        <v>-123.5</v>
      </c>
    </row>
    <row r="12" ht="20.05" customHeight="1">
      <c r="B12" t="s" s="10">
        <v>11</v>
      </c>
      <c r="C12" s="17">
        <f>C13+C16+C14</f>
        <v>-1525.038333004420</v>
      </c>
      <c r="D12" s="18">
        <f>D13+D16+D14</f>
        <v>-1493.868333004420</v>
      </c>
      <c r="E12" s="18">
        <f>E13+E16+E14</f>
        <v>-1474.113216334460</v>
      </c>
      <c r="F12" s="18">
        <f>F13+F16+F14</f>
        <v>-1426.072397007770</v>
      </c>
    </row>
    <row r="13" ht="20.05" customHeight="1">
      <c r="B13" t="s" s="10">
        <v>12</v>
      </c>
      <c r="C13" s="17">
        <f>-('Balance sheet'!G32)/20</f>
        <v>-623.4</v>
      </c>
      <c r="D13" s="18">
        <f>-C29/20</f>
        <v>-592.23</v>
      </c>
      <c r="E13" s="18">
        <f>-D29/20</f>
        <v>-562.6185</v>
      </c>
      <c r="F13" s="18">
        <f>-E29/20</f>
        <v>-534.487575</v>
      </c>
    </row>
    <row r="14" ht="20.05" customHeight="1">
      <c r="B14" t="s" s="10">
        <v>13</v>
      </c>
      <c r="C14" s="17">
        <f>-MIN(0,C17)</f>
        <v>0</v>
      </c>
      <c r="D14" s="18">
        <f>-MIN(C30,D17)</f>
        <v>0</v>
      </c>
      <c r="E14" s="18">
        <f>-MIN(D30,E17)</f>
        <v>0</v>
      </c>
      <c r="F14" s="18">
        <f>-MIN(E30,F17)</f>
        <v>0</v>
      </c>
    </row>
    <row r="15" ht="20.05" customHeight="1">
      <c r="B15" t="s" s="10">
        <v>14</v>
      </c>
      <c r="C15" s="19">
        <v>0.3</v>
      </c>
      <c r="D15" s="18"/>
      <c r="E15" s="18"/>
      <c r="F15" s="18"/>
    </row>
    <row r="16" ht="20.05" customHeight="1">
      <c r="B16" t="s" s="10">
        <v>15</v>
      </c>
      <c r="C16" s="17">
        <f>IF(C24&gt;0,-C24*$C$15,0)</f>
        <v>-901.638333004419</v>
      </c>
      <c r="D16" s="18">
        <f>IF(D24&gt;0,-D24*$C$15,0)</f>
        <v>-901.638333004419</v>
      </c>
      <c r="E16" s="18">
        <f>IF(E24&gt;0,-E24*$C$15,0)</f>
        <v>-911.494716334461</v>
      </c>
      <c r="F16" s="18">
        <f>IF(F24&gt;0,-F24*$C$15,0)</f>
        <v>-891.5848220077741</v>
      </c>
    </row>
    <row r="17" ht="20.05" customHeight="1">
      <c r="B17" t="s" s="10">
        <v>16</v>
      </c>
      <c r="C17" s="17">
        <f>C9+C10+C13+C16</f>
        <v>755.4227770103111</v>
      </c>
      <c r="D17" s="18">
        <f>D9+D10+D13+D16</f>
        <v>786.592777010311</v>
      </c>
      <c r="E17" s="18">
        <f>E9+E10+E13+E16</f>
        <v>839.202504780409</v>
      </c>
      <c r="F17" s="18">
        <f>F9+F10+F13+F16</f>
        <v>820.877009684806</v>
      </c>
    </row>
    <row r="18" ht="20.05" customHeight="1">
      <c r="B18" t="s" s="10">
        <v>17</v>
      </c>
      <c r="C18" s="17">
        <f>'Balance sheet'!C32</f>
        <v>6105.1</v>
      </c>
      <c r="D18" s="18">
        <f>C20</f>
        <v>6860.522777010310</v>
      </c>
      <c r="E18" s="18">
        <f>D20</f>
        <v>7647.115554020620</v>
      </c>
      <c r="F18" s="18">
        <f>E20</f>
        <v>8486.318058801029</v>
      </c>
    </row>
    <row r="19" ht="20.05" customHeight="1">
      <c r="B19" t="s" s="10">
        <v>18</v>
      </c>
      <c r="C19" s="17">
        <f>C9+C10+C12</f>
        <v>755.422777010310</v>
      </c>
      <c r="D19" s="18">
        <f>D9+D10+D12</f>
        <v>786.592777010310</v>
      </c>
      <c r="E19" s="18">
        <f>E9+E10+E12</f>
        <v>839.202504780410</v>
      </c>
      <c r="F19" s="18">
        <f>F9+F10+F12</f>
        <v>820.877009684810</v>
      </c>
    </row>
    <row r="20" ht="20.05" customHeight="1">
      <c r="B20" t="s" s="10">
        <v>19</v>
      </c>
      <c r="C20" s="17">
        <f>C18+C19</f>
        <v>6860.522777010310</v>
      </c>
      <c r="D20" s="18">
        <f>D18+D19</f>
        <v>7647.115554020620</v>
      </c>
      <c r="E20" s="18">
        <f>E18+E19</f>
        <v>8486.318058801029</v>
      </c>
      <c r="F20" s="18">
        <f>F18+F19</f>
        <v>9307.195068485840</v>
      </c>
    </row>
    <row r="21" ht="20.05" customHeight="1">
      <c r="B21" t="s" s="20">
        <v>20</v>
      </c>
      <c r="C21" s="21"/>
      <c r="D21" s="22"/>
      <c r="E21" s="22"/>
      <c r="F21" s="23"/>
    </row>
    <row r="22" ht="20.05" customHeight="1">
      <c r="B22" t="s" s="10">
        <v>21</v>
      </c>
      <c r="C22" s="17">
        <f>-AVERAGE('Sales'!E32)</f>
        <v>-359</v>
      </c>
      <c r="D22" s="18">
        <f>C22</f>
        <v>-359</v>
      </c>
      <c r="E22" s="18">
        <f>D22</f>
        <v>-359</v>
      </c>
      <c r="F22" s="18">
        <f>E22</f>
        <v>-359</v>
      </c>
    </row>
    <row r="23" ht="20.05" customHeight="1">
      <c r="B23" t="s" s="10">
        <v>22</v>
      </c>
      <c r="C23" s="17">
        <f>AVERAGE('Sales'!F32)</f>
        <v>79</v>
      </c>
      <c r="D23" s="18">
        <f>C23</f>
        <v>79</v>
      </c>
      <c r="E23" s="18">
        <f>D23</f>
        <v>79</v>
      </c>
      <c r="F23" s="18">
        <f>E23</f>
        <v>79</v>
      </c>
    </row>
    <row r="24" ht="20.05" customHeight="1">
      <c r="B24" t="s" s="10">
        <v>23</v>
      </c>
      <c r="C24" s="17">
        <f>C6+C8+C22+C23</f>
        <v>3005.461110014730</v>
      </c>
      <c r="D24" s="18">
        <f>D6+D8+D22+D23</f>
        <v>3005.461110014730</v>
      </c>
      <c r="E24" s="18">
        <f>E6+E8+E22+E23</f>
        <v>3038.315721114870</v>
      </c>
      <c r="F24" s="18">
        <f>F6+F8+F22+F23</f>
        <v>2971.949406692580</v>
      </c>
    </row>
    <row r="25" ht="20.05" customHeight="1">
      <c r="B25" t="s" s="20">
        <v>24</v>
      </c>
      <c r="C25" s="21"/>
      <c r="D25" s="22"/>
      <c r="E25" s="22"/>
      <c r="F25" s="18"/>
    </row>
    <row r="26" ht="20.05" customHeight="1">
      <c r="B26" t="s" s="10">
        <v>25</v>
      </c>
      <c r="C26" s="17">
        <f>'Balance sheet'!E32+'Balance sheet'!F32-C10+C23</f>
        <v>41009.9</v>
      </c>
      <c r="D26" s="18">
        <f>C26-D10+D23</f>
        <v>42093.9</v>
      </c>
      <c r="E26" s="18">
        <f>D26-E10+E23</f>
        <v>43177.9</v>
      </c>
      <c r="F26" s="18">
        <f>E26-F10+F23</f>
        <v>44261.9</v>
      </c>
    </row>
    <row r="27" ht="20.05" customHeight="1">
      <c r="B27" t="s" s="10">
        <v>26</v>
      </c>
      <c r="C27" s="17">
        <f>'Balance sheet'!F32-C22</f>
        <v>7400</v>
      </c>
      <c r="D27" s="18">
        <f>C27-D22</f>
        <v>7759</v>
      </c>
      <c r="E27" s="18">
        <f>D27-E22</f>
        <v>8118</v>
      </c>
      <c r="F27" s="18">
        <f>E27-F22</f>
        <v>8477</v>
      </c>
    </row>
    <row r="28" ht="20.05" customHeight="1">
      <c r="B28" t="s" s="10">
        <v>27</v>
      </c>
      <c r="C28" s="17">
        <f>C26-C27</f>
        <v>33609.9</v>
      </c>
      <c r="D28" s="18">
        <f>D26-D27</f>
        <v>34334.9</v>
      </c>
      <c r="E28" s="18">
        <f>E26-E27</f>
        <v>35059.9</v>
      </c>
      <c r="F28" s="18">
        <f>F26-F27</f>
        <v>35784.9</v>
      </c>
    </row>
    <row r="29" ht="20.05" customHeight="1">
      <c r="B29" t="s" s="10">
        <v>12</v>
      </c>
      <c r="C29" s="17">
        <f>'Balance sheet'!G32+C13</f>
        <v>11844.6</v>
      </c>
      <c r="D29" s="18">
        <f>C29+D13</f>
        <v>11252.37</v>
      </c>
      <c r="E29" s="18">
        <f>D29+E13</f>
        <v>10689.7515</v>
      </c>
      <c r="F29" s="18">
        <f>E29+F13</f>
        <v>10155.263925</v>
      </c>
    </row>
    <row r="30" ht="20.05" customHeight="1">
      <c r="B30" t="s" s="10">
        <v>13</v>
      </c>
      <c r="C30" s="17">
        <f>C14</f>
        <v>0</v>
      </c>
      <c r="D30" s="18">
        <f>C30+D14</f>
        <v>0</v>
      </c>
      <c r="E30" s="18">
        <f>D30+E14</f>
        <v>0</v>
      </c>
      <c r="F30" s="18">
        <f>E30+F14</f>
        <v>0</v>
      </c>
    </row>
    <row r="31" ht="20.05" customHeight="1">
      <c r="B31" t="s" s="10">
        <v>28</v>
      </c>
      <c r="C31" s="17">
        <f>'Balance sheet'!H32+C24+C16</f>
        <v>28625.8227770103</v>
      </c>
      <c r="D31" s="18">
        <f>C31+D24+D16</f>
        <v>30729.6455540206</v>
      </c>
      <c r="E31" s="18">
        <f>D31+E24+E16</f>
        <v>32856.466558801</v>
      </c>
      <c r="F31" s="18">
        <f>E31+F24+F16</f>
        <v>34936.8311434858</v>
      </c>
    </row>
    <row r="32" ht="20.05" customHeight="1">
      <c r="B32" t="s" s="10">
        <v>29</v>
      </c>
      <c r="C32" s="17">
        <f>C29+C30+C31-C20-C28</f>
        <v>-9.999999999999999e-12</v>
      </c>
      <c r="D32" s="18">
        <f>D29+D30+D31-D20-D28</f>
        <v>-2e-11</v>
      </c>
      <c r="E32" s="18">
        <f>E29+E30+E31-E20-E28</f>
        <v>-3e-11</v>
      </c>
      <c r="F32" s="18">
        <f>F29+F30+F31-F20-F28</f>
        <v>-4e-11</v>
      </c>
    </row>
    <row r="33" ht="20.05" customHeight="1">
      <c r="B33" t="s" s="10">
        <v>30</v>
      </c>
      <c r="C33" s="17">
        <f>C20-C29-C30</f>
        <v>-4984.077222989690</v>
      </c>
      <c r="D33" s="18">
        <f>D20-D29-D30</f>
        <v>-3605.254445979380</v>
      </c>
      <c r="E33" s="18">
        <f>E20-E29-E30</f>
        <v>-2203.433441198970</v>
      </c>
      <c r="F33" s="18">
        <f>F20-F29-F30</f>
        <v>-848.068856514160</v>
      </c>
    </row>
    <row r="34" ht="20.05" customHeight="1">
      <c r="B34" t="s" s="20">
        <v>31</v>
      </c>
      <c r="C34" s="17"/>
      <c r="D34" s="18"/>
      <c r="E34" s="18"/>
      <c r="F34" s="18"/>
    </row>
    <row r="35" ht="20.05" customHeight="1">
      <c r="B35" t="s" s="10">
        <v>32</v>
      </c>
      <c r="C35" s="17">
        <f>'Cashflow'!M32-C12</f>
        <v>15675.2383330044</v>
      </c>
      <c r="D35" s="18">
        <f>C35-D12</f>
        <v>17169.1066660088</v>
      </c>
      <c r="E35" s="18">
        <f>D35-E12</f>
        <v>18643.2198823433</v>
      </c>
      <c r="F35" s="18">
        <f>E35-F12</f>
        <v>20069.2922793511</v>
      </c>
    </row>
    <row r="36" ht="20.05" customHeight="1">
      <c r="B36" t="s" s="10">
        <v>33</v>
      </c>
      <c r="C36" s="17"/>
      <c r="D36" s="18"/>
      <c r="E36" s="18"/>
      <c r="F36" s="18">
        <v>47097521049600</v>
      </c>
    </row>
    <row r="37" ht="20.05" customHeight="1">
      <c r="B37" t="s" s="10">
        <v>33</v>
      </c>
      <c r="C37" s="17"/>
      <c r="D37" s="18"/>
      <c r="E37" s="18"/>
      <c r="F37" s="18">
        <f>F36/1000000000</f>
        <v>47097.5210496</v>
      </c>
    </row>
    <row r="38" ht="20.05" customHeight="1">
      <c r="B38" t="s" s="10">
        <v>34</v>
      </c>
      <c r="C38" s="17"/>
      <c r="D38" s="18"/>
      <c r="E38" s="18"/>
      <c r="F38" s="24">
        <f>F37/(F20+F28)</f>
        <v>1.04447400321649</v>
      </c>
    </row>
    <row r="39" ht="20.05" customHeight="1">
      <c r="B39" t="s" s="10">
        <v>35</v>
      </c>
      <c r="C39" s="17"/>
      <c r="D39" s="18"/>
      <c r="E39" s="18"/>
      <c r="F39" s="16">
        <f>-(C16+D16+E16+F16)/F37</f>
        <v>0.07657210239479691</v>
      </c>
    </row>
    <row r="40" ht="20.05" customHeight="1">
      <c r="B40" t="s" s="10">
        <v>3</v>
      </c>
      <c r="C40" s="17"/>
      <c r="D40" s="18"/>
      <c r="E40" s="18"/>
      <c r="F40" s="18">
        <f>SUM(C9:F11)</f>
        <v>8627.187347836911</v>
      </c>
    </row>
    <row r="41" ht="20.05" customHeight="1">
      <c r="B41" t="s" s="10">
        <v>36</v>
      </c>
      <c r="C41" s="17"/>
      <c r="D41" s="18"/>
      <c r="E41" s="18"/>
      <c r="F41" s="18">
        <f>'Balance sheet'!E32/F40</f>
        <v>3.81177534161759</v>
      </c>
    </row>
    <row r="42" ht="20.05" customHeight="1">
      <c r="B42" t="s" s="10">
        <v>31</v>
      </c>
      <c r="C42" s="17"/>
      <c r="D42" s="18"/>
      <c r="E42" s="18"/>
      <c r="F42" s="18">
        <f>F37/F40</f>
        <v>5.45919766787129</v>
      </c>
    </row>
    <row r="43" ht="20.05" customHeight="1">
      <c r="B43" t="s" s="10">
        <v>37</v>
      </c>
      <c r="C43" s="17"/>
      <c r="D43" s="18"/>
      <c r="E43" s="18"/>
      <c r="F43" s="18">
        <v>12</v>
      </c>
    </row>
    <row r="44" ht="20.05" customHeight="1">
      <c r="B44" t="s" s="10">
        <v>38</v>
      </c>
      <c r="C44" s="17"/>
      <c r="D44" s="18"/>
      <c r="E44" s="18"/>
      <c r="F44" s="18">
        <f>F40*F43</f>
        <v>103526.248174043</v>
      </c>
    </row>
    <row r="45" ht="20.05" customHeight="1">
      <c r="B45" t="s" s="10">
        <v>39</v>
      </c>
      <c r="C45" s="17"/>
      <c r="D45" s="18"/>
      <c r="E45" s="18"/>
      <c r="F45" s="18">
        <f>F37/F47</f>
        <v>11.487200256</v>
      </c>
    </row>
    <row r="46" ht="20.05" customHeight="1">
      <c r="B46" t="s" s="10">
        <v>40</v>
      </c>
      <c r="C46" s="17"/>
      <c r="D46" s="18"/>
      <c r="E46" s="18"/>
      <c r="F46" s="18">
        <f>F44/F45</f>
        <v>9012.313345888540</v>
      </c>
    </row>
    <row r="47" ht="20.05" customHeight="1">
      <c r="B47" t="s" s="10">
        <v>41</v>
      </c>
      <c r="C47" s="17"/>
      <c r="D47" s="18"/>
      <c r="E47" s="18"/>
      <c r="F47" s="18">
        <v>4100</v>
      </c>
    </row>
    <row r="48" ht="20.05" customHeight="1">
      <c r="B48" t="s" s="10">
        <v>42</v>
      </c>
      <c r="C48" s="17"/>
      <c r="D48" s="18"/>
      <c r="E48" s="18"/>
      <c r="F48" s="16">
        <f>F46/F47-1</f>
        <v>1.19812520631428</v>
      </c>
    </row>
    <row r="49" ht="20.05" customHeight="1">
      <c r="B49" t="s" s="10">
        <v>43</v>
      </c>
      <c r="C49" s="17"/>
      <c r="D49" s="18"/>
      <c r="E49" s="18"/>
      <c r="F49" s="16">
        <f>'Sales'!C32/'Sales'!C28-1</f>
        <v>1.05386868257028</v>
      </c>
    </row>
    <row r="50" ht="20.05" customHeight="1">
      <c r="B50" t="s" s="10">
        <v>44</v>
      </c>
      <c r="C50" s="17"/>
      <c r="D50" s="18"/>
      <c r="E50" s="18"/>
      <c r="F50" s="16">
        <f>'Sales'!F35/'Sales'!E35-1</f>
        <v>0.00550190640173366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2969" style="25" customWidth="1"/>
    <col min="2" max="2" width="6.625" style="25" customWidth="1"/>
    <col min="3" max="11" width="9.83594" style="25" customWidth="1"/>
    <col min="12" max="16384" width="16.3516" style="25" customWidth="1"/>
  </cols>
  <sheetData>
    <row r="1" ht="25.9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37</v>
      </c>
      <c r="E3" t="s" s="5">
        <v>26</v>
      </c>
      <c r="F3" t="s" s="5">
        <v>45</v>
      </c>
      <c r="G3" t="s" s="5">
        <v>23</v>
      </c>
      <c r="H3" t="s" s="5">
        <v>46</v>
      </c>
      <c r="I3" t="s" s="5">
        <v>47</v>
      </c>
      <c r="J3" t="s" s="5">
        <v>47</v>
      </c>
      <c r="K3" t="s" s="5">
        <v>37</v>
      </c>
    </row>
    <row r="4" ht="20.25" customHeight="1">
      <c r="B4" s="26">
        <v>2015</v>
      </c>
      <c r="C4" s="27">
        <v>3277</v>
      </c>
      <c r="D4" s="28"/>
      <c r="E4" s="29">
        <v>69</v>
      </c>
      <c r="F4" s="29">
        <v>59</v>
      </c>
      <c r="G4" s="29">
        <v>340</v>
      </c>
      <c r="H4" s="9"/>
      <c r="I4" s="30">
        <f>(E4+G4-F4-C4)/C4</f>
        <v>-0.893194995422643</v>
      </c>
      <c r="J4" s="30"/>
      <c r="K4" s="30"/>
    </row>
    <row r="5" ht="20.05" customHeight="1">
      <c r="B5" s="31"/>
      <c r="C5" s="17">
        <v>3235</v>
      </c>
      <c r="D5" s="22"/>
      <c r="E5" s="18">
        <v>71</v>
      </c>
      <c r="F5" s="18">
        <v>62</v>
      </c>
      <c r="G5" s="18">
        <v>455</v>
      </c>
      <c r="H5" s="16">
        <f>C5/C4-1</f>
        <v>-0.0128166005492829</v>
      </c>
      <c r="I5" s="16">
        <f>(E5+G5-F5-C5)/C5</f>
        <v>-0.856568778979907</v>
      </c>
      <c r="J5" s="16"/>
      <c r="K5" s="16"/>
    </row>
    <row r="6" ht="20.05" customHeight="1">
      <c r="B6" s="31"/>
      <c r="C6" s="17">
        <v>3990</v>
      </c>
      <c r="D6" s="22"/>
      <c r="E6" s="18">
        <v>94</v>
      </c>
      <c r="F6" s="18">
        <v>67</v>
      </c>
      <c r="G6" s="18">
        <v>709</v>
      </c>
      <c r="H6" s="16">
        <f>C6/C5-1</f>
        <v>0.23338485316847</v>
      </c>
      <c r="I6" s="16">
        <f>(E6+G6-F6-C6)/C6</f>
        <v>-0.815538847117794</v>
      </c>
      <c r="J6" s="16"/>
      <c r="K6" s="16"/>
    </row>
    <row r="7" ht="20.05" customHeight="1">
      <c r="B7" s="31"/>
      <c r="C7" s="17">
        <v>3343</v>
      </c>
      <c r="D7" s="22"/>
      <c r="E7" s="18">
        <v>140</v>
      </c>
      <c r="F7" s="18">
        <v>-54</v>
      </c>
      <c r="G7" s="18">
        <v>533</v>
      </c>
      <c r="H7" s="16">
        <f>C7/C6-1</f>
        <v>-0.162155388471178</v>
      </c>
      <c r="I7" s="16">
        <f>(E7+G7-F7-C7)/C7</f>
        <v>-0.78253066108286</v>
      </c>
      <c r="J7" s="16"/>
      <c r="K7" s="16"/>
    </row>
    <row r="8" ht="20.05" customHeight="1">
      <c r="B8" s="32">
        <v>2016</v>
      </c>
      <c r="C8" s="17">
        <v>3545</v>
      </c>
      <c r="D8" s="22"/>
      <c r="E8" s="18">
        <v>117</v>
      </c>
      <c r="F8" s="18">
        <v>41</v>
      </c>
      <c r="G8" s="18">
        <v>333</v>
      </c>
      <c r="H8" s="16">
        <f>C8/C7-1</f>
        <v>0.0604247681723003</v>
      </c>
      <c r="I8" s="16">
        <f>(E8+G8-F8-C8)/C8</f>
        <v>-0.884626234132581</v>
      </c>
      <c r="J8" s="16">
        <f>AVERAGE(I5:I8)</f>
        <v>-0.8348161303282861</v>
      </c>
      <c r="K8" s="16"/>
    </row>
    <row r="9" ht="20.05" customHeight="1">
      <c r="B9" s="31"/>
      <c r="C9" s="17">
        <v>3213</v>
      </c>
      <c r="D9" s="22"/>
      <c r="E9" s="18">
        <v>99</v>
      </c>
      <c r="F9" s="18">
        <v>62</v>
      </c>
      <c r="G9" s="18">
        <v>381</v>
      </c>
      <c r="H9" s="16">
        <f>C9/C8-1</f>
        <v>-0.09365303244005641</v>
      </c>
      <c r="I9" s="16">
        <f>(E9+G9-F9-C9)/C9</f>
        <v>-0.86990351696234</v>
      </c>
      <c r="J9" s="16">
        <f>AVERAGE(I6:I9)</f>
        <v>-0.8381498148238939</v>
      </c>
      <c r="K9" s="16"/>
    </row>
    <row r="10" ht="20.05" customHeight="1">
      <c r="B10" s="31"/>
      <c r="C10" s="17">
        <v>3284</v>
      </c>
      <c r="D10" s="22"/>
      <c r="E10" s="18">
        <v>119</v>
      </c>
      <c r="F10" s="18">
        <v>50</v>
      </c>
      <c r="G10" s="18">
        <v>341</v>
      </c>
      <c r="H10" s="16">
        <f>C10/C9-1</f>
        <v>0.0220977279800809</v>
      </c>
      <c r="I10" s="16">
        <f>(E10+G10-F10-C10)/C10</f>
        <v>-0.875152253349574</v>
      </c>
      <c r="J10" s="16">
        <f>AVERAGE(I7:I10)</f>
        <v>-0.853053166381839</v>
      </c>
      <c r="K10" s="16"/>
    </row>
    <row r="11" ht="20.05" customHeight="1">
      <c r="B11" s="31"/>
      <c r="C11" s="17">
        <v>4017</v>
      </c>
      <c r="D11" s="22"/>
      <c r="E11" s="18">
        <v>102</v>
      </c>
      <c r="F11" s="18">
        <v>-3</v>
      </c>
      <c r="G11" s="18">
        <v>969</v>
      </c>
      <c r="H11" s="16">
        <f>C11/C10-1</f>
        <v>0.22320341047503</v>
      </c>
      <c r="I11" s="16">
        <f>(E11+G11-F11-C11)/C11</f>
        <v>-0.732636295743092</v>
      </c>
      <c r="J11" s="16">
        <f>AVERAGE(I8:I11)</f>
        <v>-0.840579575046897</v>
      </c>
      <c r="K11" s="16"/>
    </row>
    <row r="12" ht="20.05" customHeight="1">
      <c r="B12" s="32">
        <v>2017</v>
      </c>
      <c r="C12" s="17">
        <v>4547</v>
      </c>
      <c r="D12" s="22"/>
      <c r="E12" s="18">
        <v>155</v>
      </c>
      <c r="F12" s="18">
        <v>34</v>
      </c>
      <c r="G12" s="18">
        <v>884</v>
      </c>
      <c r="H12" s="16">
        <f>C12/C11-1</f>
        <v>0.13193925815285</v>
      </c>
      <c r="I12" s="16">
        <f>(E12+G12-F12-C12)/C12</f>
        <v>-0.778975148449527</v>
      </c>
      <c r="J12" s="16">
        <f>AVERAGE(I9:I12)</f>
        <v>-0.814166803626133</v>
      </c>
      <c r="K12" s="16"/>
    </row>
    <row r="13" ht="20.05" customHeight="1">
      <c r="B13" s="31"/>
      <c r="C13" s="17">
        <v>4420</v>
      </c>
      <c r="D13" s="22"/>
      <c r="E13" s="18">
        <v>180</v>
      </c>
      <c r="F13" s="18">
        <v>32</v>
      </c>
      <c r="G13" s="18">
        <v>863</v>
      </c>
      <c r="H13" s="16">
        <f>C13/C12-1</f>
        <v>-0.0279305036287662</v>
      </c>
      <c r="I13" s="16">
        <f>(E13+G13-F13-C13)/C13</f>
        <v>-0.771266968325792</v>
      </c>
      <c r="J13" s="16">
        <f>AVERAGE(I10:I13)</f>
        <v>-0.789507666466996</v>
      </c>
      <c r="K13" s="16"/>
    </row>
    <row r="14" ht="20.05" customHeight="1">
      <c r="B14" s="31"/>
      <c r="C14" s="17">
        <v>4320</v>
      </c>
      <c r="D14" s="22"/>
      <c r="E14" s="18">
        <v>127</v>
      </c>
      <c r="F14" s="18">
        <v>45</v>
      </c>
      <c r="G14" s="18">
        <v>917</v>
      </c>
      <c r="H14" s="16">
        <f>C14/C13-1</f>
        <v>-0.0226244343891403</v>
      </c>
      <c r="I14" s="16">
        <f>(E14+G14-F14-C14)/C14</f>
        <v>-0.76875</v>
      </c>
      <c r="J14" s="16">
        <f>AVERAGE(I11:I14)</f>
        <v>-0.762907103129603</v>
      </c>
      <c r="K14" s="16"/>
    </row>
    <row r="15" ht="20.05" customHeight="1">
      <c r="B15" s="31"/>
      <c r="C15" s="17">
        <v>6184</v>
      </c>
      <c r="D15" s="22"/>
      <c r="E15" s="18">
        <v>205</v>
      </c>
      <c r="F15" s="18">
        <v>11</v>
      </c>
      <c r="G15" s="18">
        <v>1883</v>
      </c>
      <c r="H15" s="16">
        <f>C15/C14-1</f>
        <v>0.431481481481481</v>
      </c>
      <c r="I15" s="16">
        <f>(E15+G15-F15-C15)/C15</f>
        <v>-0.664133247089263</v>
      </c>
      <c r="J15" s="16">
        <f>AVERAGE(I12:I15)</f>
        <v>-0.745781340966146</v>
      </c>
      <c r="K15" s="16"/>
    </row>
    <row r="16" ht="20.05" customHeight="1">
      <c r="B16" s="32">
        <v>2018</v>
      </c>
      <c r="C16" s="17">
        <v>5749</v>
      </c>
      <c r="D16" s="22"/>
      <c r="E16" s="18">
        <v>206</v>
      </c>
      <c r="F16" s="18">
        <v>30</v>
      </c>
      <c r="G16" s="18">
        <v>1474</v>
      </c>
      <c r="H16" s="16">
        <f>C16/C15-1</f>
        <v>-0.0703428201811125</v>
      </c>
      <c r="I16" s="16">
        <f>(E16+G16-F16-C16)/C16</f>
        <v>-0.712993564098104</v>
      </c>
      <c r="J16" s="16">
        <f>AVERAGE(I13:I16)</f>
        <v>-0.72928594487829</v>
      </c>
      <c r="K16" s="16"/>
    </row>
    <row r="17" ht="20.05" customHeight="1">
      <c r="B17" s="31"/>
      <c r="C17" s="17">
        <v>4743</v>
      </c>
      <c r="D17" s="22"/>
      <c r="E17" s="18">
        <v>162</v>
      </c>
      <c r="F17" s="18">
        <v>76</v>
      </c>
      <c r="G17" s="18">
        <v>1232</v>
      </c>
      <c r="H17" s="16">
        <f>C17/C16-1</f>
        <v>-0.174986954252914</v>
      </c>
      <c r="I17" s="16">
        <f>(E17+G17-F17-C17)/C17</f>
        <v>-0.7221168037107319</v>
      </c>
      <c r="J17" s="16">
        <f>AVERAGE(I14:I17)</f>
        <v>-0.7169984037245249</v>
      </c>
      <c r="K17" s="16"/>
    </row>
    <row r="18" ht="20.05" customHeight="1">
      <c r="B18" s="31"/>
      <c r="C18" s="17">
        <v>5544</v>
      </c>
      <c r="D18" s="22"/>
      <c r="E18" s="18">
        <v>107</v>
      </c>
      <c r="F18" s="18">
        <v>15</v>
      </c>
      <c r="G18" s="18">
        <v>1288</v>
      </c>
      <c r="H18" s="16">
        <f>C18/C17-1</f>
        <v>0.16888045540797</v>
      </c>
      <c r="I18" s="16">
        <f>(E18+G18-F18-C18)/C18</f>
        <v>-0.751082251082251</v>
      </c>
      <c r="J18" s="16">
        <f>AVERAGE(I15:I18)</f>
        <v>-0.712581466495088</v>
      </c>
      <c r="K18" s="16"/>
    </row>
    <row r="19" ht="20.05" customHeight="1">
      <c r="B19" s="31"/>
      <c r="C19" s="17">
        <v>5131</v>
      </c>
      <c r="D19" s="22"/>
      <c r="E19" s="18">
        <v>231</v>
      </c>
      <c r="F19" s="18">
        <v>231</v>
      </c>
      <c r="G19" s="18">
        <v>1127</v>
      </c>
      <c r="H19" s="16">
        <f>C19/C18-1</f>
        <v>-0.0744949494949495</v>
      </c>
      <c r="I19" s="16">
        <f>(E19+G19-F19-C19)/C19</f>
        <v>-0.780354706684857</v>
      </c>
      <c r="J19" s="16">
        <f>AVERAGE(I16:I19)</f>
        <v>-0.741636831393986</v>
      </c>
      <c r="K19" s="16"/>
    </row>
    <row r="20" ht="20.05" customHeight="1">
      <c r="B20" s="32">
        <v>2019</v>
      </c>
      <c r="C20" s="17">
        <v>5337</v>
      </c>
      <c r="D20" s="22"/>
      <c r="E20" s="18">
        <v>176</v>
      </c>
      <c r="F20" s="18">
        <v>33</v>
      </c>
      <c r="G20" s="18">
        <v>1151</v>
      </c>
      <c r="H20" s="16">
        <f>C20/C19-1</f>
        <v>0.0401481192749951</v>
      </c>
      <c r="I20" s="16">
        <f>(E20+G20-F20-C20)/C20</f>
        <v>-0.757541690088064</v>
      </c>
      <c r="J20" s="16">
        <f>AVERAGE(I17:I20)</f>
        <v>-0.752773862891476</v>
      </c>
      <c r="K20" s="16"/>
    </row>
    <row r="21" ht="20.05" customHeight="1">
      <c r="B21" s="31"/>
      <c r="C21" s="17">
        <v>5278</v>
      </c>
      <c r="D21" s="22"/>
      <c r="E21" s="18">
        <v>188</v>
      </c>
      <c r="F21" s="18">
        <v>24</v>
      </c>
      <c r="G21" s="18">
        <v>875</v>
      </c>
      <c r="H21" s="16">
        <f>C21/C20-1</f>
        <v>-0.0110548997564175</v>
      </c>
      <c r="I21" s="16">
        <f>(E21+G21-F21-C21)/C21</f>
        <v>-0.803145130731338</v>
      </c>
      <c r="J21" s="16">
        <f>AVERAGE(I18:I21)</f>
        <v>-0.773030944646628</v>
      </c>
      <c r="K21" s="16"/>
    </row>
    <row r="22" ht="20.05" customHeight="1">
      <c r="B22" s="31"/>
      <c r="C22" s="17">
        <v>5639</v>
      </c>
      <c r="D22" s="22"/>
      <c r="E22" s="18">
        <v>214</v>
      </c>
      <c r="F22" s="18">
        <v>38</v>
      </c>
      <c r="G22" s="18">
        <v>1099</v>
      </c>
      <c r="H22" s="16">
        <f>C22/C21-1</f>
        <v>0.06839712012125811</v>
      </c>
      <c r="I22" s="16">
        <f>(E22+G22-F22-C22)/C22</f>
        <v>-0.773896080865402</v>
      </c>
      <c r="J22" s="16">
        <f>AVERAGE(I19:I22)</f>
        <v>-0.778734402092415</v>
      </c>
      <c r="K22" s="16"/>
    </row>
    <row r="23" ht="20.05" customHeight="1">
      <c r="B23" s="31"/>
      <c r="C23" s="17">
        <v>5534</v>
      </c>
      <c r="D23" s="18">
        <v>5644.1</v>
      </c>
      <c r="E23" s="18">
        <v>193</v>
      </c>
      <c r="F23" s="18">
        <v>84</v>
      </c>
      <c r="G23" s="18">
        <v>915</v>
      </c>
      <c r="H23" s="16">
        <f>C23/C22-1</f>
        <v>-0.018620322752261</v>
      </c>
      <c r="I23" s="16">
        <f>(E23+G23-F23-C23)/C23</f>
        <v>-0.814962052764727</v>
      </c>
      <c r="J23" s="16">
        <f>AVERAGE(I20:I23)</f>
        <v>-0.787386238612383</v>
      </c>
      <c r="K23" s="16"/>
    </row>
    <row r="24" ht="20.05" customHeight="1">
      <c r="B24" s="32">
        <v>2020</v>
      </c>
      <c r="C24" s="17">
        <v>5122</v>
      </c>
      <c r="D24" s="18">
        <v>5337</v>
      </c>
      <c r="E24" s="18">
        <v>251</v>
      </c>
      <c r="F24" s="18">
        <v>39</v>
      </c>
      <c r="G24" s="18">
        <v>909</v>
      </c>
      <c r="H24" s="16">
        <f>C24/C23-1</f>
        <v>-0.0744488615829418</v>
      </c>
      <c r="I24" s="16">
        <f>(E24+G24-F24-C24)/C24</f>
        <v>-0.7811401796173369</v>
      </c>
      <c r="J24" s="16">
        <f>AVERAGE(I21:I24)</f>
        <v>-0.793285860994701</v>
      </c>
      <c r="K24" s="16"/>
    </row>
    <row r="25" ht="20.05" customHeight="1">
      <c r="B25" s="31"/>
      <c r="C25" s="17">
        <f>9012-C24</f>
        <v>3890</v>
      </c>
      <c r="D25" s="18">
        <v>4750.2</v>
      </c>
      <c r="E25" s="18">
        <f>521-E24</f>
        <v>270</v>
      </c>
      <c r="F25" s="18">
        <f>260-F24</f>
        <v>221</v>
      </c>
      <c r="G25" s="18">
        <f>1300-G24</f>
        <v>391</v>
      </c>
      <c r="H25" s="16">
        <f>C25/C24-1</f>
        <v>-0.240531042561499</v>
      </c>
      <c r="I25" s="16">
        <f>(E25+G25-F25-C25)/C25</f>
        <v>-0.886889460154242</v>
      </c>
      <c r="J25" s="16">
        <f>AVERAGE(I22:I25)</f>
        <v>-0.814221943350427</v>
      </c>
      <c r="K25" s="16"/>
    </row>
    <row r="26" ht="20.05" customHeight="1">
      <c r="B26" s="31"/>
      <c r="C26" s="17">
        <f>12849-SUM(C24:C25)</f>
        <v>3837</v>
      </c>
      <c r="D26" s="18">
        <v>4084.5</v>
      </c>
      <c r="E26" s="18">
        <f>795-SUM(E24:E25)</f>
        <v>274</v>
      </c>
      <c r="F26" s="18">
        <f>332-SUM(F24:F25)</f>
        <v>72</v>
      </c>
      <c r="G26" s="18">
        <f>1741-SUM(G24:G25)</f>
        <v>441</v>
      </c>
      <c r="H26" s="16">
        <f>C26/C25-1</f>
        <v>-0.0136246786632391</v>
      </c>
      <c r="I26" s="16">
        <f>(E26+G26-F26-C26)/C26</f>
        <v>-0.832421162366432</v>
      </c>
      <c r="J26" s="16">
        <f>AVERAGE(I23:I26)</f>
        <v>-0.828853213725685</v>
      </c>
      <c r="K26" s="16"/>
    </row>
    <row r="27" ht="20.05" customHeight="1">
      <c r="B27" s="31"/>
      <c r="C27" s="17">
        <f>17325.19-SUM(C24:C26)</f>
        <v>4476.19</v>
      </c>
      <c r="D27" s="18">
        <v>4719.51</v>
      </c>
      <c r="E27" s="18">
        <f>1037.9-SUM(E24:E26)</f>
        <v>242.9</v>
      </c>
      <c r="F27" s="18">
        <f>481.27-SUM(F24:F26)</f>
        <v>149.27</v>
      </c>
      <c r="G27" s="18">
        <f>2407.92-SUM(G24:G26)</f>
        <v>666.92</v>
      </c>
      <c r="H27" s="16">
        <f>C27/C26-1</f>
        <v>0.166585874381027</v>
      </c>
      <c r="I27" s="16">
        <f>(E27+G27-F27-C27)/C27</f>
        <v>-0.830089875541476</v>
      </c>
      <c r="J27" s="16">
        <f>AVERAGE(I24:I27)</f>
        <v>-0.832635169419872</v>
      </c>
      <c r="K27" s="16"/>
    </row>
    <row r="28" ht="20.05" customHeight="1">
      <c r="B28" s="32">
        <v>2021</v>
      </c>
      <c r="C28" s="17">
        <v>3994.9</v>
      </c>
      <c r="D28" s="18">
        <v>4789.5233</v>
      </c>
      <c r="E28" s="18">
        <v>252.2</v>
      </c>
      <c r="F28" s="18">
        <v>77.7</v>
      </c>
      <c r="G28" s="18">
        <v>510.5</v>
      </c>
      <c r="H28" s="16">
        <f>C28/C27-1</f>
        <v>-0.10752224548109</v>
      </c>
      <c r="I28" s="16">
        <f>(E28+G28-F28-C28)/C28</f>
        <v>-0.828531377506321</v>
      </c>
      <c r="J28" s="16">
        <f>AVERAGE(I25:I28)</f>
        <v>-0.844482968892118</v>
      </c>
      <c r="K28" s="16"/>
    </row>
    <row r="29" ht="20.05" customHeight="1">
      <c r="B29" s="31"/>
      <c r="C29" s="17">
        <v>6296.4</v>
      </c>
      <c r="D29" s="18">
        <v>4275</v>
      </c>
      <c r="E29" s="18">
        <f>566.8-E28</f>
        <v>314.6</v>
      </c>
      <c r="F29" s="18">
        <f>-14.3-F28</f>
        <v>-92</v>
      </c>
      <c r="G29" s="18">
        <f>1808.8-G28</f>
        <v>1298.3</v>
      </c>
      <c r="H29" s="16">
        <f>C29/C28-1</f>
        <v>0.57610953966307</v>
      </c>
      <c r="I29" s="16">
        <f>(E29+G29-F29-C29)/C29</f>
        <v>-0.729226224509243</v>
      </c>
      <c r="J29" s="16">
        <f>AVERAGE(I26:I29)</f>
        <v>-0.805067159980868</v>
      </c>
      <c r="K29" s="16"/>
    </row>
    <row r="30" ht="20.05" customHeight="1">
      <c r="B30" s="31"/>
      <c r="C30" s="17">
        <f>19381.8-SUM(C28:C29)</f>
        <v>9090.5</v>
      </c>
      <c r="D30" s="14">
        <v>6422.328</v>
      </c>
      <c r="E30" s="18">
        <f>885.1-SUM(E28:E29)</f>
        <v>318.3</v>
      </c>
      <c r="F30" s="18">
        <f>45.2-SUM(F28:F29)</f>
        <v>59.5</v>
      </c>
      <c r="G30" s="18">
        <f>4853.4-SUM(G28:G29)</f>
        <v>3044.6</v>
      </c>
      <c r="H30" s="16">
        <f>C30/C29-1</f>
        <v>0.443761514516231</v>
      </c>
      <c r="I30" s="16">
        <f>(E30+G30-F30-C30)/C30</f>
        <v>-0.636609647434135</v>
      </c>
      <c r="J30" s="16">
        <f>AVERAGE(I27:I30)</f>
        <v>-0.756114281247794</v>
      </c>
      <c r="K30" s="16"/>
    </row>
    <row r="31" ht="20.05" customHeight="1">
      <c r="B31" s="31"/>
      <c r="C31" s="17">
        <f>29261.5-SUM(C28:C30)</f>
        <v>9879.700000000001</v>
      </c>
      <c r="D31" s="14">
        <v>9272.309999999999</v>
      </c>
      <c r="E31" s="33">
        <f>1243.8-SUM(E28:E30)</f>
        <v>358.7</v>
      </c>
      <c r="F31" s="22">
        <f>301.2-SUM(F28:F30)</f>
        <v>256</v>
      </c>
      <c r="G31" s="18">
        <f>8036.9-SUM(G28:G30)</f>
        <v>3183.5</v>
      </c>
      <c r="H31" s="16">
        <f>C31/C30-1</f>
        <v>0.08681590671580219</v>
      </c>
      <c r="I31" s="16">
        <f>(E31+G31-F31-C31)/C31</f>
        <v>-0.667378564126441</v>
      </c>
      <c r="J31" s="16">
        <f>AVERAGE(I28:I31)</f>
        <v>-0.7154364533940351</v>
      </c>
      <c r="K31" s="16"/>
    </row>
    <row r="32" ht="20.05" customHeight="1">
      <c r="B32" s="32">
        <v>2022</v>
      </c>
      <c r="C32" s="17">
        <v>8205</v>
      </c>
      <c r="D32" s="14">
        <v>11363.125</v>
      </c>
      <c r="E32" s="22">
        <v>359</v>
      </c>
      <c r="F32" s="22">
        <v>79</v>
      </c>
      <c r="G32" s="18">
        <v>2301</v>
      </c>
      <c r="H32" s="16">
        <f>C32/C31-1</f>
        <v>-0.169509195623349</v>
      </c>
      <c r="I32" s="16">
        <f>(E32+G32-F32-C32)/C32</f>
        <v>-0.685435709932968</v>
      </c>
      <c r="J32" s="16">
        <f>AVERAGE(I29:I32)</f>
        <v>-0.679662536500697</v>
      </c>
      <c r="K32" s="16">
        <v>-0.667378564126441</v>
      </c>
    </row>
    <row r="33" ht="20.05" customHeight="1">
      <c r="B33" s="31"/>
      <c r="C33" s="17"/>
      <c r="D33" s="14">
        <f>'Model'!C6</f>
        <v>10256.25</v>
      </c>
      <c r="E33" s="22"/>
      <c r="F33" s="18"/>
      <c r="G33" s="18"/>
      <c r="H33" s="12"/>
      <c r="I33" s="12"/>
      <c r="J33" s="12"/>
      <c r="K33" s="16">
        <f>'Model'!C7</f>
        <v>-0.679662536500697</v>
      </c>
    </row>
    <row r="34" ht="20.05" customHeight="1">
      <c r="B34" s="31"/>
      <c r="C34" s="17"/>
      <c r="D34" s="18">
        <f>'Model'!D6</f>
        <v>10256.25</v>
      </c>
      <c r="E34" s="22"/>
      <c r="F34" s="18"/>
      <c r="G34" s="18"/>
      <c r="H34" s="12"/>
      <c r="I34" s="12"/>
      <c r="J34" s="12"/>
      <c r="K34" s="12"/>
    </row>
    <row r="35" ht="20.05" customHeight="1">
      <c r="B35" s="31"/>
      <c r="C35" s="17"/>
      <c r="D35" s="18">
        <f>'Model'!E6</f>
        <v>10358.8125</v>
      </c>
      <c r="E35" s="18">
        <f>SUM(C23:C32)</f>
        <v>60325.69</v>
      </c>
      <c r="F35" s="18">
        <f>SUM(D23:D32)</f>
        <v>60657.5963</v>
      </c>
      <c r="G35" s="18"/>
      <c r="H35" s="12"/>
      <c r="I35" s="12"/>
      <c r="J35" s="12"/>
      <c r="K35" s="12"/>
    </row>
    <row r="36" ht="20.05" customHeight="1">
      <c r="B36" s="32">
        <v>2023</v>
      </c>
      <c r="C36" s="17"/>
      <c r="D36" s="18">
        <f>'Model'!F6</f>
        <v>10151.63625</v>
      </c>
      <c r="E36" s="22"/>
      <c r="F36" s="18"/>
      <c r="G36" s="18"/>
      <c r="H36" s="12"/>
      <c r="I36" s="12"/>
      <c r="J36" s="12"/>
      <c r="K36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20312" style="34" customWidth="1"/>
    <col min="2" max="2" width="7.79688" style="34" customWidth="1"/>
    <col min="3" max="5" width="10.3906" style="34" customWidth="1"/>
    <col min="6" max="15" width="9.71875" style="34" customWidth="1"/>
    <col min="16" max="16384" width="16.3516" style="34" customWidth="1"/>
  </cols>
  <sheetData>
    <row r="1" ht="19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48</v>
      </c>
      <c r="D3" t="s" s="5">
        <v>49</v>
      </c>
      <c r="E3" t="s" s="5">
        <v>50</v>
      </c>
      <c r="F3" t="s" s="5">
        <v>10</v>
      </c>
      <c r="G3" t="s" s="5">
        <v>12</v>
      </c>
      <c r="H3" t="s" s="5">
        <v>28</v>
      </c>
      <c r="I3" t="s" s="5">
        <v>11</v>
      </c>
      <c r="J3" t="s" s="5">
        <v>51</v>
      </c>
      <c r="K3" t="s" s="5">
        <v>3</v>
      </c>
      <c r="L3" t="s" s="5">
        <v>37</v>
      </c>
      <c r="M3" t="s" s="5">
        <v>32</v>
      </c>
      <c r="N3" t="s" s="5">
        <v>37</v>
      </c>
      <c r="O3" s="35"/>
    </row>
    <row r="4" ht="20.25" customHeight="1">
      <c r="B4" s="26">
        <v>2015</v>
      </c>
      <c r="C4" s="27">
        <v>2994</v>
      </c>
      <c r="D4" s="29">
        <v>430</v>
      </c>
      <c r="E4" s="29">
        <v>-327</v>
      </c>
      <c r="F4" s="29"/>
      <c r="G4" s="29"/>
      <c r="H4" s="29"/>
      <c r="I4" s="29">
        <v>62</v>
      </c>
      <c r="J4" s="29">
        <f>D4+E4+F4</f>
        <v>103</v>
      </c>
      <c r="K4" s="29"/>
      <c r="L4" s="29"/>
      <c r="M4" s="29">
        <f>-(I4-F4)</f>
        <v>-62</v>
      </c>
      <c r="N4" s="29"/>
      <c r="O4" s="29">
        <v>1</v>
      </c>
    </row>
    <row r="5" ht="20.05" customHeight="1">
      <c r="B5" s="31"/>
      <c r="C5" s="17">
        <v>3302</v>
      </c>
      <c r="D5" s="18">
        <v>834</v>
      </c>
      <c r="E5" s="18">
        <v>-207</v>
      </c>
      <c r="F5" s="18"/>
      <c r="G5" s="18"/>
      <c r="H5" s="18"/>
      <c r="I5" s="18">
        <v>-999</v>
      </c>
      <c r="J5" s="18">
        <f>D5+E5+F5</f>
        <v>627</v>
      </c>
      <c r="K5" s="18"/>
      <c r="L5" s="18"/>
      <c r="M5" s="18">
        <f>-(I5-F5)+M4</f>
        <v>937</v>
      </c>
      <c r="N5" s="18"/>
      <c r="O5" s="18">
        <f>1+O4</f>
        <v>2</v>
      </c>
    </row>
    <row r="6" ht="20.05" customHeight="1">
      <c r="B6" s="31"/>
      <c r="C6" s="17">
        <v>3596</v>
      </c>
      <c r="D6" s="18">
        <v>880</v>
      </c>
      <c r="E6" s="18">
        <v>-430</v>
      </c>
      <c r="F6" s="18"/>
      <c r="G6" s="18"/>
      <c r="H6" s="18"/>
      <c r="I6" s="18">
        <v>-184</v>
      </c>
      <c r="J6" s="18">
        <f>D6+E6+F6</f>
        <v>450</v>
      </c>
      <c r="K6" s="18"/>
      <c r="L6" s="18"/>
      <c r="M6" s="18">
        <f>-(I6-F6)+M5</f>
        <v>1121</v>
      </c>
      <c r="N6" s="18"/>
      <c r="O6" s="18">
        <f>1+O5</f>
        <v>3</v>
      </c>
    </row>
    <row r="7" ht="20.05" customHeight="1">
      <c r="B7" s="31"/>
      <c r="C7" s="17">
        <v>3707</v>
      </c>
      <c r="D7" s="18">
        <v>-246</v>
      </c>
      <c r="E7" s="18">
        <v>-149</v>
      </c>
      <c r="F7" s="18"/>
      <c r="G7" s="18"/>
      <c r="H7" s="18"/>
      <c r="I7" s="18">
        <v>-674</v>
      </c>
      <c r="J7" s="18">
        <f>D7+E7+F7</f>
        <v>-395</v>
      </c>
      <c r="K7" s="18"/>
      <c r="L7" s="18"/>
      <c r="M7" s="18">
        <f>-(I7-F7)+M6</f>
        <v>1795</v>
      </c>
      <c r="N7" s="18"/>
      <c r="O7" s="18">
        <f>1+O6</f>
        <v>4</v>
      </c>
    </row>
    <row r="8" ht="20.05" customHeight="1">
      <c r="B8" s="32">
        <v>2016</v>
      </c>
      <c r="C8" s="17">
        <v>2790</v>
      </c>
      <c r="D8" s="18">
        <v>1</v>
      </c>
      <c r="E8" s="18">
        <v>-120</v>
      </c>
      <c r="F8" s="18"/>
      <c r="G8" s="18"/>
      <c r="H8" s="18"/>
      <c r="I8" s="18">
        <v>-159</v>
      </c>
      <c r="J8" s="18">
        <f>D8+E8+F8</f>
        <v>-119</v>
      </c>
      <c r="K8" s="18">
        <f>AVERAGE(J5:J8)</f>
        <v>140.75</v>
      </c>
      <c r="L8" s="18"/>
      <c r="M8" s="18">
        <f>-(I8-F8)+M7</f>
        <v>1954</v>
      </c>
      <c r="N8" s="18"/>
      <c r="O8" s="18">
        <f>1+O7</f>
        <v>5</v>
      </c>
    </row>
    <row r="9" ht="20.05" customHeight="1">
      <c r="B9" s="31"/>
      <c r="C9" s="17">
        <v>3576</v>
      </c>
      <c r="D9" s="18">
        <v>959</v>
      </c>
      <c r="E9" s="18">
        <v>-503</v>
      </c>
      <c r="F9" s="18"/>
      <c r="G9" s="18"/>
      <c r="H9" s="18"/>
      <c r="I9" s="18">
        <v>-733</v>
      </c>
      <c r="J9" s="18">
        <f>D9+E9+F9</f>
        <v>456</v>
      </c>
      <c r="K9" s="18">
        <f>AVERAGE(J6:J9)</f>
        <v>98</v>
      </c>
      <c r="L9" s="18"/>
      <c r="M9" s="18">
        <f>-(I9-F9)+M8</f>
        <v>2687</v>
      </c>
      <c r="N9" s="18"/>
      <c r="O9" s="18">
        <f>1+O8</f>
        <v>6</v>
      </c>
    </row>
    <row r="10" ht="20.05" customHeight="1">
      <c r="B10" s="31"/>
      <c r="C10" s="17">
        <v>2662</v>
      </c>
      <c r="D10" s="18">
        <v>116</v>
      </c>
      <c r="E10" s="18">
        <v>-46</v>
      </c>
      <c r="F10" s="18"/>
      <c r="G10" s="18"/>
      <c r="H10" s="18"/>
      <c r="I10" s="18">
        <v>137</v>
      </c>
      <c r="J10" s="18">
        <f>D10+E10+F10</f>
        <v>70</v>
      </c>
      <c r="K10" s="18">
        <f>AVERAGE(J7:J10)</f>
        <v>3</v>
      </c>
      <c r="L10" s="18"/>
      <c r="M10" s="18">
        <f>-(I10-F10)+M9</f>
        <v>2550</v>
      </c>
      <c r="N10" s="18"/>
      <c r="O10" s="18">
        <f>1+O9</f>
        <v>7</v>
      </c>
    </row>
    <row r="11" ht="20.05" customHeight="1">
      <c r="B11" s="31"/>
      <c r="C11" s="17">
        <v>4341</v>
      </c>
      <c r="D11" s="18">
        <v>852</v>
      </c>
      <c r="E11" s="18">
        <v>354</v>
      </c>
      <c r="F11" s="18"/>
      <c r="G11" s="18"/>
      <c r="H11" s="18"/>
      <c r="I11" s="18">
        <v>-256</v>
      </c>
      <c r="J11" s="18">
        <f>D11+E11+F11</f>
        <v>1206</v>
      </c>
      <c r="K11" s="18">
        <f>AVERAGE(J8:J11)</f>
        <v>403.25</v>
      </c>
      <c r="L11" s="18"/>
      <c r="M11" s="18">
        <f>-(I11-F11)+M10</f>
        <v>2806</v>
      </c>
      <c r="N11" s="18"/>
      <c r="O11" s="18">
        <f>1+O10</f>
        <v>8</v>
      </c>
    </row>
    <row r="12" ht="20.05" customHeight="1">
      <c r="B12" s="32">
        <v>2017</v>
      </c>
      <c r="C12" s="17">
        <v>3660</v>
      </c>
      <c r="D12" s="18">
        <v>373</v>
      </c>
      <c r="E12" s="18">
        <v>78</v>
      </c>
      <c r="F12" s="18"/>
      <c r="G12" s="18"/>
      <c r="H12" s="18"/>
      <c r="I12" s="18">
        <v>-121</v>
      </c>
      <c r="J12" s="18">
        <f>D12+E12+F12</f>
        <v>451</v>
      </c>
      <c r="K12" s="18">
        <f>AVERAGE(J9:J12)</f>
        <v>545.75</v>
      </c>
      <c r="L12" s="18"/>
      <c r="M12" s="18">
        <f>-(I12-F12)+M11</f>
        <v>2927</v>
      </c>
      <c r="N12" s="18"/>
      <c r="O12" s="18">
        <f>1+O11</f>
        <v>9</v>
      </c>
    </row>
    <row r="13" ht="20.05" customHeight="1">
      <c r="B13" s="31"/>
      <c r="C13" s="17">
        <v>3665</v>
      </c>
      <c r="D13" s="18">
        <v>1166</v>
      </c>
      <c r="E13" s="18">
        <v>-679</v>
      </c>
      <c r="F13" s="18"/>
      <c r="G13" s="18"/>
      <c r="H13" s="18"/>
      <c r="I13" s="18">
        <v>-1672</v>
      </c>
      <c r="J13" s="18">
        <f>D13+E13+F13</f>
        <v>487</v>
      </c>
      <c r="K13" s="18">
        <f>AVERAGE(J10:J13)</f>
        <v>553.5</v>
      </c>
      <c r="L13" s="18"/>
      <c r="M13" s="18">
        <f>-(I13-F13)+M12</f>
        <v>4599</v>
      </c>
      <c r="N13" s="18"/>
      <c r="O13" s="18">
        <f>1+O12</f>
        <v>10</v>
      </c>
    </row>
    <row r="14" ht="20.05" customHeight="1">
      <c r="B14" s="31"/>
      <c r="C14" s="17">
        <v>3873</v>
      </c>
      <c r="D14" s="18">
        <v>849</v>
      </c>
      <c r="E14" s="18">
        <v>-431</v>
      </c>
      <c r="F14" s="18"/>
      <c r="G14" s="18"/>
      <c r="H14" s="18"/>
      <c r="I14" s="18">
        <v>-116</v>
      </c>
      <c r="J14" s="18">
        <f>D14+E14+F14</f>
        <v>418</v>
      </c>
      <c r="K14" s="18">
        <f>AVERAGE(J11:J14)</f>
        <v>640.5</v>
      </c>
      <c r="L14" s="18"/>
      <c r="M14" s="18">
        <f>-(I14-F14)+M13</f>
        <v>4715</v>
      </c>
      <c r="N14" s="18"/>
      <c r="O14" s="18">
        <f>1+O13</f>
        <v>11</v>
      </c>
    </row>
    <row r="15" ht="20.05" customHeight="1">
      <c r="B15" s="31"/>
      <c r="C15" s="17">
        <v>5214</v>
      </c>
      <c r="D15" s="18">
        <v>27</v>
      </c>
      <c r="E15" s="18">
        <v>496</v>
      </c>
      <c r="F15" s="18"/>
      <c r="G15" s="18"/>
      <c r="H15" s="18"/>
      <c r="I15" s="18">
        <v>-98</v>
      </c>
      <c r="J15" s="18">
        <f>D15+E15+F15</f>
        <v>523</v>
      </c>
      <c r="K15" s="18">
        <f>AVERAGE(J12:J15)</f>
        <v>469.75</v>
      </c>
      <c r="L15" s="18"/>
      <c r="M15" s="18">
        <f>-(I15-F15)+M14</f>
        <v>4813</v>
      </c>
      <c r="N15" s="18"/>
      <c r="O15" s="18">
        <f>1+O14</f>
        <v>12</v>
      </c>
    </row>
    <row r="16" ht="20.05" customHeight="1">
      <c r="B16" s="32">
        <v>2018</v>
      </c>
      <c r="C16" s="17">
        <v>7186</v>
      </c>
      <c r="D16" s="18">
        <v>4410</v>
      </c>
      <c r="E16" s="18">
        <v>-40</v>
      </c>
      <c r="F16" s="18">
        <v>0</v>
      </c>
      <c r="G16" s="18">
        <v>-15.6</v>
      </c>
      <c r="H16" s="18">
        <v>0</v>
      </c>
      <c r="I16" s="18">
        <v>-16</v>
      </c>
      <c r="J16" s="18">
        <f>D16+E16+F16</f>
        <v>4370</v>
      </c>
      <c r="K16" s="18">
        <f>AVERAGE(J13:J16)</f>
        <v>1449.5</v>
      </c>
      <c r="L16" s="18"/>
      <c r="M16" s="18">
        <f>-(I16-F16)+M15</f>
        <v>4829</v>
      </c>
      <c r="N16" s="18"/>
      <c r="O16" s="18">
        <f>1+O15</f>
        <v>13</v>
      </c>
    </row>
    <row r="17" ht="20.05" customHeight="1">
      <c r="B17" s="31"/>
      <c r="C17" s="17">
        <v>4329</v>
      </c>
      <c r="D17" s="18">
        <v>319</v>
      </c>
      <c r="E17" s="18">
        <v>-151</v>
      </c>
      <c r="F17" s="18">
        <v>-85</v>
      </c>
      <c r="G17" s="18">
        <f>-212.3+17.3-G16</f>
        <v>-179.4</v>
      </c>
      <c r="H17" s="18">
        <f>-3357.3-34.5-H16</f>
        <v>-3391.8</v>
      </c>
      <c r="I17" s="18">
        <v>-3656</v>
      </c>
      <c r="J17" s="18">
        <f>D17+E17+F17</f>
        <v>83</v>
      </c>
      <c r="K17" s="18">
        <f>AVERAGE(J14:J17)</f>
        <v>1348.5</v>
      </c>
      <c r="L17" s="18"/>
      <c r="M17" s="18">
        <f>-(I17-F17)+M16</f>
        <v>8400</v>
      </c>
      <c r="N17" s="18"/>
      <c r="O17" s="18">
        <f>1+O16</f>
        <v>14</v>
      </c>
    </row>
    <row r="18" ht="20.05" customHeight="1">
      <c r="B18" s="31"/>
      <c r="C18" s="17">
        <v>6235</v>
      </c>
      <c r="D18" s="18">
        <v>2015</v>
      </c>
      <c r="E18" s="18">
        <v>-667</v>
      </c>
      <c r="F18" s="18">
        <v>20</v>
      </c>
      <c r="G18" s="18">
        <f>231.2-191-SUM(G16:G17)</f>
        <v>235.2</v>
      </c>
      <c r="H18" s="18">
        <f>-3357.3-34.5-SUM(H16:H17)</f>
        <v>0</v>
      </c>
      <c r="I18" s="18">
        <v>280</v>
      </c>
      <c r="J18" s="18">
        <f>D18+E18+F18</f>
        <v>1368</v>
      </c>
      <c r="K18" s="18">
        <f>AVERAGE(J15:J18)</f>
        <v>1586</v>
      </c>
      <c r="L18" s="18"/>
      <c r="M18" s="18">
        <f>-(I18-F18)+M17</f>
        <v>8140</v>
      </c>
      <c r="N18" s="18"/>
      <c r="O18" s="18">
        <f>1+O17</f>
        <v>15</v>
      </c>
    </row>
    <row r="19" ht="20.05" customHeight="1">
      <c r="B19" s="31"/>
      <c r="C19" s="17">
        <v>5979</v>
      </c>
      <c r="D19" s="18">
        <v>1124</v>
      </c>
      <c r="E19" s="18">
        <v>-719</v>
      </c>
      <c r="F19" s="18">
        <v>-115</v>
      </c>
      <c r="G19" s="18">
        <f>-281.1+268.1-SUM(G16:G18)</f>
        <v>-53.2</v>
      </c>
      <c r="H19" s="18">
        <f>-3357.3-34.5-SUM(H16:H18)</f>
        <v>0</v>
      </c>
      <c r="I19" s="18">
        <v>-193</v>
      </c>
      <c r="J19" s="18">
        <f>D19+E19+F19</f>
        <v>290</v>
      </c>
      <c r="K19" s="18">
        <f>AVERAGE(J16:J19)</f>
        <v>1527.75</v>
      </c>
      <c r="L19" s="18"/>
      <c r="M19" s="18">
        <f>-(I19-F19)+M18</f>
        <v>8218</v>
      </c>
      <c r="N19" s="18"/>
      <c r="O19" s="18">
        <f>1+O18</f>
        <v>16</v>
      </c>
    </row>
    <row r="20" ht="20.05" customHeight="1">
      <c r="B20" s="32">
        <v>2019</v>
      </c>
      <c r="C20" s="17">
        <v>5419</v>
      </c>
      <c r="D20" s="18">
        <v>1118</v>
      </c>
      <c r="E20" s="18">
        <v>-1099</v>
      </c>
      <c r="F20" s="18">
        <v>-25</v>
      </c>
      <c r="G20" s="18">
        <v>-65</v>
      </c>
      <c r="H20" s="18">
        <v>0</v>
      </c>
      <c r="I20" s="18">
        <v>-65</v>
      </c>
      <c r="J20" s="18">
        <f>D20+E20+F20</f>
        <v>-6</v>
      </c>
      <c r="K20" s="18">
        <f>AVERAGE(J17:J20)</f>
        <v>433.75</v>
      </c>
      <c r="L20" s="18"/>
      <c r="M20" s="18">
        <f>-(I20-F20)+M19</f>
        <v>8258</v>
      </c>
      <c r="N20" s="18"/>
      <c r="O20" s="18">
        <f>1+O19</f>
        <v>17</v>
      </c>
    </row>
    <row r="21" ht="20.05" customHeight="1">
      <c r="B21" s="31"/>
      <c r="C21" s="17">
        <f>10612-C20</f>
        <v>5193</v>
      </c>
      <c r="D21" s="18">
        <v>1038</v>
      </c>
      <c r="E21" s="18">
        <v>49</v>
      </c>
      <c r="F21" s="18">
        <v>-56</v>
      </c>
      <c r="G21" s="18">
        <f>-98.4+1.7-G20</f>
        <v>-31.7</v>
      </c>
      <c r="H21" s="18">
        <f>-3768-73.5+1913.7-H20</f>
        <v>-1927.8</v>
      </c>
      <c r="I21" s="18">
        <v>-2040</v>
      </c>
      <c r="J21" s="18">
        <f>D21+E21+F21</f>
        <v>1031</v>
      </c>
      <c r="K21" s="18">
        <f>AVERAGE(J18:J21)</f>
        <v>670.75</v>
      </c>
      <c r="L21" s="18"/>
      <c r="M21" s="18">
        <f>-(I21-F21)+M20</f>
        <v>10242</v>
      </c>
      <c r="N21" s="18"/>
      <c r="O21" s="18">
        <f>1+O20</f>
        <v>18</v>
      </c>
    </row>
    <row r="22" ht="20.05" customHeight="1">
      <c r="B22" s="31"/>
      <c r="C22" s="17">
        <f>18290-SUM(C20:C21)</f>
        <v>7678</v>
      </c>
      <c r="D22" s="18">
        <v>1765</v>
      </c>
      <c r="E22" s="18">
        <v>-2759</v>
      </c>
      <c r="F22" s="18">
        <v>-35</v>
      </c>
      <c r="G22" s="18">
        <f>1.7-143.7-SUM(G20:G21)</f>
        <v>-45.3</v>
      </c>
      <c r="H22" s="18">
        <f>-3768-73.5+1913.7-SUM(H20:H21)</f>
        <v>0</v>
      </c>
      <c r="I22" s="18">
        <v>-81</v>
      </c>
      <c r="J22" s="18">
        <f>D22+E22+F22</f>
        <v>-1029</v>
      </c>
      <c r="K22" s="18">
        <f>AVERAGE(J19:J22)</f>
        <v>71.5</v>
      </c>
      <c r="L22" s="18"/>
      <c r="M22" s="18">
        <f>-(I22-F22)+M21</f>
        <v>10288</v>
      </c>
      <c r="N22" s="18"/>
      <c r="O22" s="18">
        <f>1+O21</f>
        <v>19</v>
      </c>
    </row>
    <row r="23" ht="20.05" customHeight="1">
      <c r="B23" s="31"/>
      <c r="C23" s="17">
        <f>21748-SUM(C20:C22)</f>
        <v>3458</v>
      </c>
      <c r="D23" s="18">
        <v>375</v>
      </c>
      <c r="E23" s="18">
        <v>24</v>
      </c>
      <c r="F23" s="18">
        <v>-77</v>
      </c>
      <c r="G23" s="18">
        <f>-151.9+2-SUM(G20:G22)</f>
        <v>-7.9</v>
      </c>
      <c r="H23" s="18">
        <f>-3768-73.5+2151.2-SUM(H20:H22)</f>
        <v>237.5</v>
      </c>
      <c r="I23" s="18">
        <v>153</v>
      </c>
      <c r="J23" s="18">
        <f>D23+E23+F23</f>
        <v>322</v>
      </c>
      <c r="K23" s="18">
        <f>AVERAGE(J20:J23)</f>
        <v>79.5</v>
      </c>
      <c r="L23" s="18"/>
      <c r="M23" s="18">
        <f>-(I23-F23)+M22</f>
        <v>10058</v>
      </c>
      <c r="N23" s="18"/>
      <c r="O23" s="18">
        <f>1+O22</f>
        <v>20</v>
      </c>
    </row>
    <row r="24" ht="20.05" customHeight="1">
      <c r="B24" s="32">
        <v>2020</v>
      </c>
      <c r="C24" s="17">
        <v>5113</v>
      </c>
      <c r="D24" s="18">
        <v>1188</v>
      </c>
      <c r="E24" s="18">
        <v>1560</v>
      </c>
      <c r="F24" s="18">
        <v>-41</v>
      </c>
      <c r="G24" s="18">
        <v>-12.8</v>
      </c>
      <c r="H24" s="18">
        <v>-5</v>
      </c>
      <c r="I24" s="18">
        <v>-59</v>
      </c>
      <c r="J24" s="18">
        <f>D24+E24+F24</f>
        <v>2707</v>
      </c>
      <c r="K24" s="18">
        <f>AVERAGE(J21:J24)</f>
        <v>757.75</v>
      </c>
      <c r="L24" s="18"/>
      <c r="M24" s="18">
        <f>-(I24-F24)+M23</f>
        <v>10076</v>
      </c>
      <c r="N24" s="18"/>
      <c r="O24" s="18">
        <f>1+O23</f>
        <v>21</v>
      </c>
    </row>
    <row r="25" ht="20.05" customHeight="1">
      <c r="B25" s="31"/>
      <c r="C25" s="17">
        <f>9829-C24</f>
        <v>4716</v>
      </c>
      <c r="D25" s="18">
        <f>2234-D24</f>
        <v>1046</v>
      </c>
      <c r="E25" s="18">
        <f>1847-E24</f>
        <v>287</v>
      </c>
      <c r="F25" s="18">
        <v>-127</v>
      </c>
      <c r="G25" s="18">
        <f>-25.5-G24</f>
        <v>-12.7</v>
      </c>
      <c r="H25" s="18">
        <f>-12.5-H24</f>
        <v>-7.5</v>
      </c>
      <c r="I25" s="18">
        <f>-206-I24</f>
        <v>-147</v>
      </c>
      <c r="J25" s="18">
        <f>D25+E25+F25</f>
        <v>1206</v>
      </c>
      <c r="K25" s="18">
        <f>AVERAGE(J22:J25)</f>
        <v>801.5</v>
      </c>
      <c r="L25" s="18"/>
      <c r="M25" s="18">
        <f>-(I25-F25)+M24</f>
        <v>10096</v>
      </c>
      <c r="N25" s="18"/>
      <c r="O25" s="18">
        <f>1+O24</f>
        <v>22</v>
      </c>
    </row>
    <row r="26" ht="20.05" customHeight="1">
      <c r="B26" s="31"/>
      <c r="C26" s="17">
        <f>13741-SUM(C24:C25)</f>
        <v>3912</v>
      </c>
      <c r="D26" s="18">
        <f>3577-SUM(D24:D25)</f>
        <v>1343</v>
      </c>
      <c r="E26" s="18">
        <f>842-SUM(E24:E25)</f>
        <v>-1005</v>
      </c>
      <c r="F26" s="18">
        <v>58</v>
      </c>
      <c r="G26" s="18">
        <f>-38.3-SUM(G24:G25)</f>
        <v>-12.8</v>
      </c>
      <c r="H26" s="18">
        <f>-3651.2-10-12.5-SUM(H24:H25)</f>
        <v>-3661.2</v>
      </c>
      <c r="I26" s="18">
        <f>-3822-SUM(I24:I25)</f>
        <v>-3616</v>
      </c>
      <c r="J26" s="18">
        <f>D26+E26+F26</f>
        <v>396</v>
      </c>
      <c r="K26" s="18">
        <f>AVERAGE(J23:J26)</f>
        <v>1157.75</v>
      </c>
      <c r="L26" s="18"/>
      <c r="M26" s="18">
        <f>-(I26-F26)+M25</f>
        <v>13770</v>
      </c>
      <c r="N26" s="18"/>
      <c r="O26" s="18">
        <f>1+O25</f>
        <v>23</v>
      </c>
    </row>
    <row r="27" ht="20.05" customHeight="1">
      <c r="B27" s="31"/>
      <c r="C27" s="17">
        <f>18027.4-SUM(C24:C26)</f>
        <v>4286.4</v>
      </c>
      <c r="D27" s="18">
        <f>3513.6-SUM(D24:D26)</f>
        <v>-63.4</v>
      </c>
      <c r="E27" s="18">
        <f>113.6-SUM(E24:E26)</f>
        <v>-728.4</v>
      </c>
      <c r="F27" s="18">
        <f>-360-SUM(F24:F26)</f>
        <v>-250</v>
      </c>
      <c r="G27" s="18">
        <f>-49.6-SUM(G24:G26)</f>
        <v>-11.3</v>
      </c>
      <c r="H27" s="18">
        <f>-3651.2-9.9-12.5-SUM(H24:H26)</f>
        <v>0.1</v>
      </c>
      <c r="I27" s="18">
        <f>-4083.2-SUM(I24:I26)</f>
        <v>-261.2</v>
      </c>
      <c r="J27" s="18">
        <f>D27+E27+F27</f>
        <v>-1041.8</v>
      </c>
      <c r="K27" s="18">
        <f>AVERAGE(J24:J27)</f>
        <v>816.8</v>
      </c>
      <c r="L27" s="18"/>
      <c r="M27" s="18">
        <f>-(I27-F27)+M26</f>
        <v>13781.2</v>
      </c>
      <c r="N27" s="18"/>
      <c r="O27" s="18">
        <f>1+O26</f>
        <v>24</v>
      </c>
    </row>
    <row r="28" ht="20.05" customHeight="1">
      <c r="B28" s="32">
        <v>2021</v>
      </c>
      <c r="C28" s="17">
        <v>3715.2</v>
      </c>
      <c r="D28" s="18">
        <v>475.6</v>
      </c>
      <c r="E28" s="18">
        <v>-167.6</v>
      </c>
      <c r="F28" s="18">
        <v>-122.2</v>
      </c>
      <c r="G28" s="18">
        <v>-104</v>
      </c>
      <c r="H28" s="18">
        <v>0</v>
      </c>
      <c r="I28" s="18">
        <f>-226.5</f>
        <v>-226.5</v>
      </c>
      <c r="J28" s="18">
        <f>D28+E28+F28</f>
        <v>185.8</v>
      </c>
      <c r="K28" s="18">
        <f>AVERAGE(J25:J28)</f>
        <v>186.5</v>
      </c>
      <c r="L28" s="18"/>
      <c r="M28" s="18">
        <f>-(H28+G28)+M27</f>
        <v>13885.2</v>
      </c>
      <c r="N28" s="18"/>
      <c r="O28" s="18">
        <f>1+O27</f>
        <v>25</v>
      </c>
    </row>
    <row r="29" ht="20.05" customHeight="1">
      <c r="B29" s="31"/>
      <c r="C29" s="17">
        <f>8466.5-C28</f>
        <v>4751.3</v>
      </c>
      <c r="D29" s="18">
        <f>2484-D28</f>
        <v>2008.4</v>
      </c>
      <c r="E29" s="18">
        <f>-3154.5-E28</f>
        <v>-2986.9</v>
      </c>
      <c r="F29" s="18">
        <f>-252.3-F28</f>
        <v>-130.1</v>
      </c>
      <c r="G29" s="18">
        <f>-105-G28</f>
        <v>-1</v>
      </c>
      <c r="H29" s="18">
        <f>-835-19</f>
        <v>-854</v>
      </c>
      <c r="I29" s="18">
        <f>-1212.1-I28</f>
        <v>-985.6</v>
      </c>
      <c r="J29" s="18">
        <f>D29+E29+F29</f>
        <v>-1108.6</v>
      </c>
      <c r="K29" s="18">
        <f>AVERAGE(J26:J29)</f>
        <v>-392.15</v>
      </c>
      <c r="L29" s="18"/>
      <c r="M29" s="18">
        <f>-(H29+G29)+M28</f>
        <v>14740.2</v>
      </c>
      <c r="N29" s="18"/>
      <c r="O29" s="18">
        <f>1+O28</f>
        <v>26</v>
      </c>
    </row>
    <row r="30" ht="20.05" customHeight="1">
      <c r="B30" s="31"/>
      <c r="C30" s="17">
        <f>17145.2-SUM(C28:C29)</f>
        <v>8678.700000000001</v>
      </c>
      <c r="D30" s="18">
        <f>6142.9-SUM(D28:D29)</f>
        <v>3658.9</v>
      </c>
      <c r="E30" s="18">
        <f>-5064.6-SUM(E28:E29)</f>
        <v>-1910.1</v>
      </c>
      <c r="F30" s="18">
        <f>-323.2-SUM(F28:F29)</f>
        <v>-70.90000000000001</v>
      </c>
      <c r="G30" s="18">
        <f>-106-G29-G28</f>
        <v>-1</v>
      </c>
      <c r="H30" s="18">
        <v>684</v>
      </c>
      <c r="I30" s="18">
        <f>-600.4-SUM(I28:I29)</f>
        <v>611.7</v>
      </c>
      <c r="J30" s="18">
        <f>D30+E30+F30</f>
        <v>1677.9</v>
      </c>
      <c r="K30" s="18">
        <f>AVERAGE(J27:J30)</f>
        <v>-71.675</v>
      </c>
      <c r="L30" s="18"/>
      <c r="M30" s="18">
        <f>-(H30+G30)+M29</f>
        <v>14057.2</v>
      </c>
      <c r="N30" s="18"/>
      <c r="O30" s="18">
        <f>1+O29</f>
        <v>27</v>
      </c>
    </row>
    <row r="31" ht="20.05" customHeight="1">
      <c r="B31" s="31"/>
      <c r="C31" s="17">
        <f>27729.4-SUM(C28:C30)</f>
        <v>10584.2</v>
      </c>
      <c r="D31" s="18">
        <f>10795.1-SUM(D28:D30)</f>
        <v>4652.2</v>
      </c>
      <c r="E31" s="18">
        <f>-9838.7-SUM(E28:E30)</f>
        <v>-4774.1</v>
      </c>
      <c r="F31" s="18">
        <f>-543.2-SUM(F28:F30)</f>
        <v>-220</v>
      </c>
      <c r="G31" s="18">
        <f>-107-G30-G29-G28</f>
        <v>-1</v>
      </c>
      <c r="H31" s="18">
        <f>-835-110+684-H30-H29</f>
        <v>-91</v>
      </c>
      <c r="I31" s="18">
        <f>-911.6-SUM(I28:I30)</f>
        <v>-311.2</v>
      </c>
      <c r="J31" s="18">
        <f>D31+E31+F31</f>
        <v>-341.9</v>
      </c>
      <c r="K31" s="18">
        <f>AVERAGE(J28:J31)</f>
        <v>103.3</v>
      </c>
      <c r="L31" s="18"/>
      <c r="M31" s="18">
        <f>-(H31+G31)+M30</f>
        <v>14149.2</v>
      </c>
      <c r="N31" s="18"/>
      <c r="O31" s="18">
        <f>1+O30</f>
        <v>28</v>
      </c>
    </row>
    <row r="32" ht="20.05" customHeight="1">
      <c r="B32" s="32">
        <v>2022</v>
      </c>
      <c r="C32" s="17">
        <v>7244</v>
      </c>
      <c r="D32" s="18">
        <v>2201</v>
      </c>
      <c r="E32" s="18">
        <v>-416.4</v>
      </c>
      <c r="F32" s="18">
        <v>-73</v>
      </c>
      <c r="G32" s="18">
        <v>-1</v>
      </c>
      <c r="H32" s="18">
        <v>0</v>
      </c>
      <c r="I32" s="18">
        <v>-73.5</v>
      </c>
      <c r="J32" s="18">
        <f>D32+E32+F32</f>
        <v>1711.6</v>
      </c>
      <c r="K32" s="18">
        <f>AVERAGE(J29:J32)</f>
        <v>484.75</v>
      </c>
      <c r="L32" s="18">
        <v>3187.7189288073</v>
      </c>
      <c r="M32" s="18">
        <f>-(H32+G32)+M31</f>
        <v>14150.2</v>
      </c>
      <c r="N32" s="18">
        <v>20925.1613923284</v>
      </c>
      <c r="O32" s="18">
        <f>1+O31</f>
        <v>29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23"/>
      <c r="L33" s="18">
        <f>SUM('Model'!F9:F11)</f>
        <v>2123.449406692580</v>
      </c>
      <c r="M33" s="23"/>
      <c r="N33" s="18">
        <f>'Model'!F35</f>
        <v>20069.2922793511</v>
      </c>
      <c r="O33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6" customWidth="1"/>
    <col min="2" max="2" width="6.26562" style="36" customWidth="1"/>
    <col min="3" max="11" width="9.98438" style="36" customWidth="1"/>
    <col min="12" max="16384" width="16.3516" style="36" customWidth="1"/>
  </cols>
  <sheetData>
    <row r="1" ht="35.7" customHeight="1"/>
    <row r="2" ht="27.65" customHeight="1">
      <c r="B2" t="s" s="2">
        <v>24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25</v>
      </c>
      <c r="F3" t="s" s="5">
        <v>26</v>
      </c>
      <c r="G3" t="s" s="5">
        <v>12</v>
      </c>
      <c r="H3" t="s" s="5">
        <v>15</v>
      </c>
      <c r="I3" t="s" s="5">
        <v>54</v>
      </c>
      <c r="J3" t="s" s="5">
        <v>55</v>
      </c>
      <c r="K3" t="s" s="5">
        <v>37</v>
      </c>
    </row>
    <row r="4" ht="20.25" customHeight="1">
      <c r="B4" s="26">
        <v>2015</v>
      </c>
      <c r="C4" s="27">
        <v>4203</v>
      </c>
      <c r="D4" s="29">
        <v>15314</v>
      </c>
      <c r="E4" s="29">
        <f>D4-C4</f>
        <v>11111</v>
      </c>
      <c r="F4" s="29">
        <f>195+1537+88+4+25</f>
        <v>1849</v>
      </c>
      <c r="G4" s="29">
        <v>6992</v>
      </c>
      <c r="H4" s="29">
        <v>8322</v>
      </c>
      <c r="I4" s="29">
        <f>G4+H4-C4-E4</f>
        <v>0</v>
      </c>
      <c r="J4" s="29">
        <f>C4-G4</f>
        <v>-2789</v>
      </c>
      <c r="K4" s="29"/>
    </row>
    <row r="5" ht="20.05" customHeight="1">
      <c r="B5" s="31"/>
      <c r="C5" s="17">
        <v>3833</v>
      </c>
      <c r="D5" s="18">
        <v>15230</v>
      </c>
      <c r="E5" s="18">
        <f>D5-C5</f>
        <v>11397</v>
      </c>
      <c r="F5" s="18">
        <f>211+1580+88+5+27</f>
        <v>1911</v>
      </c>
      <c r="G5" s="18">
        <v>6434</v>
      </c>
      <c r="H5" s="18">
        <v>8796</v>
      </c>
      <c r="I5" s="18">
        <f>G5+H5-C5-E5</f>
        <v>0</v>
      </c>
      <c r="J5" s="18">
        <f>C5-G5</f>
        <v>-2601</v>
      </c>
      <c r="K5" s="18"/>
    </row>
    <row r="6" ht="20.05" customHeight="1">
      <c r="B6" s="31"/>
      <c r="C6" s="17">
        <v>4120</v>
      </c>
      <c r="D6" s="18">
        <v>16159</v>
      </c>
      <c r="E6" s="18">
        <f>D6-C6</f>
        <v>12039</v>
      </c>
      <c r="F6" s="18">
        <f>231+1644+88+10+29</f>
        <v>2002</v>
      </c>
      <c r="G6" s="18">
        <v>6654</v>
      </c>
      <c r="H6" s="18">
        <v>9505</v>
      </c>
      <c r="I6" s="18">
        <f>G6+H6-C6-E6</f>
        <v>0</v>
      </c>
      <c r="J6" s="18">
        <f>C6-G6</f>
        <v>-2534</v>
      </c>
      <c r="K6" s="18"/>
    </row>
    <row r="7" ht="20.05" customHeight="1">
      <c r="B7" s="31"/>
      <c r="C7" s="17">
        <v>3115</v>
      </c>
      <c r="D7" s="18">
        <v>16894</v>
      </c>
      <c r="E7" s="18">
        <f>D7-C7</f>
        <v>13779</v>
      </c>
      <c r="F7" s="18">
        <f>240+1804+101+54+88+13</f>
        <v>2300</v>
      </c>
      <c r="G7" s="18">
        <v>7607</v>
      </c>
      <c r="H7" s="18">
        <v>9287</v>
      </c>
      <c r="I7" s="18">
        <f>G7+H7-C7-E7</f>
        <v>0</v>
      </c>
      <c r="J7" s="18">
        <f>C7-G7</f>
        <v>-4492</v>
      </c>
      <c r="K7" s="18"/>
    </row>
    <row r="8" ht="20.05" customHeight="1">
      <c r="B8" s="32">
        <v>2016</v>
      </c>
      <c r="C8" s="17">
        <v>2976</v>
      </c>
      <c r="D8" s="18">
        <v>16757</v>
      </c>
      <c r="E8" s="18">
        <f>D8-C8</f>
        <v>13781</v>
      </c>
      <c r="F8" s="18">
        <f>247+1879+17+67+101+4</f>
        <v>2315</v>
      </c>
      <c r="G8" s="18">
        <v>7205</v>
      </c>
      <c r="H8" s="18">
        <v>9552</v>
      </c>
      <c r="I8" s="18">
        <f>G8+H8-C8-E8</f>
        <v>0</v>
      </c>
      <c r="J8" s="18">
        <f>C8-G8</f>
        <v>-4229</v>
      </c>
      <c r="K8" s="18"/>
    </row>
    <row r="9" ht="20.05" customHeight="1">
      <c r="B9" s="31"/>
      <c r="C9" s="17">
        <v>2717</v>
      </c>
      <c r="D9" s="18">
        <v>16626</v>
      </c>
      <c r="E9" s="18">
        <f>D9-C9</f>
        <v>13909</v>
      </c>
      <c r="F9" s="18">
        <f>258+1956+17+101+9+74</f>
        <v>2415</v>
      </c>
      <c r="G9" s="18">
        <v>7422</v>
      </c>
      <c r="H9" s="18">
        <v>9204</v>
      </c>
      <c r="I9" s="18">
        <f>G9+H9-C9-E9</f>
        <v>0</v>
      </c>
      <c r="J9" s="18">
        <f>C9-G9</f>
        <v>-4705</v>
      </c>
      <c r="K9" s="18"/>
    </row>
    <row r="10" ht="20.05" customHeight="1">
      <c r="B10" s="31"/>
      <c r="C10" s="17">
        <v>2901</v>
      </c>
      <c r="D10" s="18">
        <v>17251</v>
      </c>
      <c r="E10" s="18">
        <f>D10-C10</f>
        <v>14350</v>
      </c>
      <c r="F10" s="18">
        <f>270+2047+20+101+15+81</f>
        <v>2534</v>
      </c>
      <c r="G10" s="18">
        <v>7662</v>
      </c>
      <c r="H10" s="18">
        <v>9589</v>
      </c>
      <c r="I10" s="18">
        <f>G10+H10-C10-E10</f>
        <v>0</v>
      </c>
      <c r="J10" s="18">
        <f>C10-G10</f>
        <v>-4761</v>
      </c>
      <c r="K10" s="18"/>
    </row>
    <row r="11" ht="20.05" customHeight="1">
      <c r="B11" s="31"/>
      <c r="C11" s="17">
        <v>3675</v>
      </c>
      <c r="D11" s="18">
        <v>18577</v>
      </c>
      <c r="E11" s="18">
        <f>D11-C11</f>
        <v>14902</v>
      </c>
      <c r="F11" s="18">
        <f>303+2130+120+83</f>
        <v>2636</v>
      </c>
      <c r="G11" s="18">
        <v>8025</v>
      </c>
      <c r="H11" s="18">
        <v>10552</v>
      </c>
      <c r="I11" s="18">
        <f>G11+H11-C11-E11</f>
        <v>0</v>
      </c>
      <c r="J11" s="18">
        <f>C11-G11</f>
        <v>-4350</v>
      </c>
      <c r="K11" s="18"/>
    </row>
    <row r="12" ht="20.05" customHeight="1">
      <c r="B12" s="32">
        <v>2017</v>
      </c>
      <c r="C12" s="17">
        <v>4006</v>
      </c>
      <c r="D12" s="18">
        <v>19553</v>
      </c>
      <c r="E12" s="18">
        <f>D12-C12</f>
        <v>15547</v>
      </c>
      <c r="F12" s="18">
        <f>292+2298+(120+4)+72</f>
        <v>2786</v>
      </c>
      <c r="G12" s="18">
        <v>8235</v>
      </c>
      <c r="H12" s="18">
        <v>11318</v>
      </c>
      <c r="I12" s="18">
        <f>G12+H12-C12-E12</f>
        <v>0</v>
      </c>
      <c r="J12" s="18">
        <f>C12-G12</f>
        <v>-4229</v>
      </c>
      <c r="K12" s="18"/>
    </row>
    <row r="13" ht="20.05" customHeight="1">
      <c r="B13" s="31"/>
      <c r="C13" s="17">
        <v>2820</v>
      </c>
      <c r="D13" s="18">
        <v>18670</v>
      </c>
      <c r="E13" s="18">
        <f>D13-C13</f>
        <v>15850</v>
      </c>
      <c r="F13" s="18">
        <f>317+2385+(120+8)+132</f>
        <v>2962</v>
      </c>
      <c r="G13" s="18">
        <v>6689</v>
      </c>
      <c r="H13" s="18">
        <v>11981</v>
      </c>
      <c r="I13" s="18">
        <f>G13+H13-C13-E13</f>
        <v>0</v>
      </c>
      <c r="J13" s="18">
        <f>C13-G13</f>
        <v>-3869</v>
      </c>
      <c r="K13" s="18"/>
    </row>
    <row r="14" ht="20.05" customHeight="1">
      <c r="B14" s="31"/>
      <c r="C14" s="17">
        <v>3124</v>
      </c>
      <c r="D14" s="18">
        <v>19500</v>
      </c>
      <c r="E14" s="18">
        <f>D14-C14</f>
        <v>16376</v>
      </c>
      <c r="F14" s="18">
        <f>327+2507+(120+14)+136</f>
        <v>3104</v>
      </c>
      <c r="G14" s="18">
        <v>6591</v>
      </c>
      <c r="H14" s="18">
        <v>12909</v>
      </c>
      <c r="I14" s="18">
        <f>G14+H14-C14-E14</f>
        <v>0</v>
      </c>
      <c r="J14" s="18">
        <f>C14-G14</f>
        <v>-3467</v>
      </c>
      <c r="K14" s="18"/>
    </row>
    <row r="15" ht="20.05" customHeight="1">
      <c r="B15" s="31"/>
      <c r="C15" s="17">
        <v>3555</v>
      </c>
      <c r="D15" s="18">
        <v>21987</v>
      </c>
      <c r="E15" s="18">
        <f>D15-C15</f>
        <v>18432</v>
      </c>
      <c r="F15" s="18">
        <f>469+2725+104</f>
        <v>3298</v>
      </c>
      <c r="G15" s="18">
        <v>8187</v>
      </c>
      <c r="H15" s="18">
        <v>13800</v>
      </c>
      <c r="I15" s="18">
        <f>G15+H15-C15-E15</f>
        <v>0</v>
      </c>
      <c r="J15" s="18">
        <f>C15-G15</f>
        <v>-4632</v>
      </c>
      <c r="K15" s="18"/>
    </row>
    <row r="16" ht="20.05" customHeight="1">
      <c r="B16" s="32">
        <v>2018</v>
      </c>
      <c r="C16" s="17">
        <v>7931</v>
      </c>
      <c r="D16" s="18">
        <v>23620</v>
      </c>
      <c r="E16" s="18">
        <f>D16-C16</f>
        <v>15689</v>
      </c>
      <c r="F16" s="18">
        <f>489+2858+145</f>
        <v>3492</v>
      </c>
      <c r="G16" s="18">
        <v>8490</v>
      </c>
      <c r="H16" s="18">
        <v>15130</v>
      </c>
      <c r="I16" s="18">
        <f>G16+H16-C16-E16</f>
        <v>0</v>
      </c>
      <c r="J16" s="18">
        <f>C16-G16</f>
        <v>-559</v>
      </c>
      <c r="K16" s="18"/>
    </row>
    <row r="17" ht="20.05" customHeight="1">
      <c r="B17" s="31"/>
      <c r="C17" s="17">
        <v>4558</v>
      </c>
      <c r="D17" s="18">
        <v>20635</v>
      </c>
      <c r="E17" s="18">
        <f>D17-C17</f>
        <v>16077</v>
      </c>
      <c r="F17" s="18">
        <f>493+3006+150</f>
        <v>3649</v>
      </c>
      <c r="G17" s="18">
        <v>7681</v>
      </c>
      <c r="H17" s="18">
        <v>12954</v>
      </c>
      <c r="I17" s="18">
        <f>G17+H17-C17-E17</f>
        <v>0</v>
      </c>
      <c r="J17" s="18">
        <f>C17-G17</f>
        <v>-3123</v>
      </c>
      <c r="K17" s="18"/>
    </row>
    <row r="18" ht="20.05" customHeight="1">
      <c r="B18" s="31"/>
      <c r="C18" s="17">
        <v>6059</v>
      </c>
      <c r="D18" s="18">
        <v>22470</v>
      </c>
      <c r="E18" s="18">
        <f>D18-C18</f>
        <v>16411</v>
      </c>
      <c r="F18" s="18">
        <f>535+3151+155</f>
        <v>3841</v>
      </c>
      <c r="G18" s="18">
        <v>7548</v>
      </c>
      <c r="H18" s="18">
        <v>14922</v>
      </c>
      <c r="I18" s="18">
        <f>G18+H18-C18-E18</f>
        <v>0</v>
      </c>
      <c r="J18" s="18">
        <f>C18-G18</f>
        <v>-1489</v>
      </c>
      <c r="K18" s="18"/>
    </row>
    <row r="19" ht="20.05" customHeight="1">
      <c r="B19" s="31"/>
      <c r="C19" s="17">
        <v>6301</v>
      </c>
      <c r="D19" s="18">
        <v>24173</v>
      </c>
      <c r="E19" s="18">
        <f>D19-C19</f>
        <v>17872</v>
      </c>
      <c r="F19" s="18">
        <f>533+3266+62</f>
        <v>3861</v>
      </c>
      <c r="G19" s="18">
        <v>7903</v>
      </c>
      <c r="H19" s="18">
        <v>16270</v>
      </c>
      <c r="I19" s="18">
        <f>G19+H19-C19-E19</f>
        <v>0</v>
      </c>
      <c r="J19" s="18">
        <f>C19-G19</f>
        <v>-1602</v>
      </c>
      <c r="K19" s="18"/>
    </row>
    <row r="20" ht="20.05" customHeight="1">
      <c r="B20" s="32">
        <v>2019</v>
      </c>
      <c r="C20" s="17">
        <v>6261</v>
      </c>
      <c r="D20" s="18">
        <v>24827</v>
      </c>
      <c r="E20" s="18">
        <f>D20-C20</f>
        <v>18566</v>
      </c>
      <c r="F20" s="18">
        <f>592+3422+160</f>
        <v>4174</v>
      </c>
      <c r="G20" s="18">
        <v>7269</v>
      </c>
      <c r="H20" s="18">
        <v>17558</v>
      </c>
      <c r="I20" s="18">
        <f>G20+H20-C20-E20</f>
        <v>0</v>
      </c>
      <c r="J20" s="18">
        <f>C20-G20</f>
        <v>-1008</v>
      </c>
      <c r="K20" s="18"/>
    </row>
    <row r="21" ht="20.05" customHeight="1">
      <c r="B21" s="31"/>
      <c r="C21" s="17">
        <v>5287</v>
      </c>
      <c r="D21" s="18">
        <v>23412</v>
      </c>
      <c r="E21" s="18">
        <f>D21-C21</f>
        <v>18125</v>
      </c>
      <c r="F21" s="18">
        <f>565+3582+74</f>
        <v>4221</v>
      </c>
      <c r="G21" s="18">
        <v>7164</v>
      </c>
      <c r="H21" s="18">
        <v>16248</v>
      </c>
      <c r="I21" s="18">
        <f>G21+H21-C21-E21</f>
        <v>0</v>
      </c>
      <c r="J21" s="18">
        <f>C21-G21</f>
        <v>-1877</v>
      </c>
      <c r="K21" s="18"/>
    </row>
    <row r="22" ht="20.05" customHeight="1">
      <c r="B22" s="31"/>
      <c r="C22" s="17">
        <v>4240</v>
      </c>
      <c r="D22" s="18">
        <v>25231</v>
      </c>
      <c r="E22" s="18">
        <f>D22-C22</f>
        <v>20991</v>
      </c>
      <c r="F22" s="18">
        <f>592+3764+79</f>
        <v>4435</v>
      </c>
      <c r="G22" s="18">
        <v>7897</v>
      </c>
      <c r="H22" s="18">
        <v>17334</v>
      </c>
      <c r="I22" s="18">
        <f>G22+H22-C22-E22</f>
        <v>0</v>
      </c>
      <c r="J22" s="18">
        <f>C22-G22</f>
        <v>-3657</v>
      </c>
      <c r="K22" s="18"/>
    </row>
    <row r="23" ht="20.05" customHeight="1">
      <c r="B23" s="31"/>
      <c r="C23" s="17">
        <v>4757</v>
      </c>
      <c r="D23" s="18">
        <v>26098</v>
      </c>
      <c r="E23" s="18">
        <f>D23-C23</f>
        <v>21341</v>
      </c>
      <c r="F23" s="18">
        <f>612+3932+81</f>
        <v>4625</v>
      </c>
      <c r="G23" s="18">
        <v>7675</v>
      </c>
      <c r="H23" s="18">
        <v>18423</v>
      </c>
      <c r="I23" s="18">
        <f>G23+H23-C23-E23</f>
        <v>0</v>
      </c>
      <c r="J23" s="18">
        <f>C23-G23</f>
        <v>-2918</v>
      </c>
      <c r="K23" s="18"/>
    </row>
    <row r="24" ht="20.05" customHeight="1">
      <c r="B24" s="32">
        <v>2020</v>
      </c>
      <c r="C24" s="17">
        <v>7509</v>
      </c>
      <c r="D24" s="18">
        <v>27728</v>
      </c>
      <c r="E24" s="18">
        <f>D24-C24</f>
        <v>20219</v>
      </c>
      <c r="F24" s="18">
        <f>84+4170+652</f>
        <v>4906</v>
      </c>
      <c r="G24" s="18">
        <v>7802</v>
      </c>
      <c r="H24" s="18">
        <v>19926</v>
      </c>
      <c r="I24" s="18">
        <f>G24+H24-C24-E24</f>
        <v>0</v>
      </c>
      <c r="J24" s="18">
        <f>C24-G24</f>
        <v>-293</v>
      </c>
      <c r="K24" s="18"/>
    </row>
    <row r="25" ht="20.05" customHeight="1">
      <c r="B25" s="31"/>
      <c r="C25" s="17">
        <v>8644</v>
      </c>
      <c r="D25" s="18">
        <v>26892</v>
      </c>
      <c r="E25" s="18">
        <f>D25-C25</f>
        <v>18248</v>
      </c>
      <c r="F25" s="18">
        <f>4309+93+81+645</f>
        <v>5128</v>
      </c>
      <c r="G25" s="18">
        <v>10925</v>
      </c>
      <c r="H25" s="18">
        <v>15967</v>
      </c>
      <c r="I25" s="18">
        <f>G25+H25-C25-E25</f>
        <v>0</v>
      </c>
      <c r="J25" s="18">
        <f>C25-G25</f>
        <v>-2281</v>
      </c>
      <c r="K25" s="18"/>
    </row>
    <row r="26" ht="20.05" customHeight="1">
      <c r="B26" s="31"/>
      <c r="C26" s="17">
        <v>5389</v>
      </c>
      <c r="D26" s="18">
        <v>24506</v>
      </c>
      <c r="E26" s="18">
        <f>D26-C26</f>
        <v>19117</v>
      </c>
      <c r="F26" s="18">
        <f>91+4543+669</f>
        <v>5303</v>
      </c>
      <c r="G26" s="18">
        <v>7926</v>
      </c>
      <c r="H26" s="18">
        <v>16580</v>
      </c>
      <c r="I26" s="18">
        <f>G26+H26-C26-E26</f>
        <v>0</v>
      </c>
      <c r="J26" s="18">
        <f>C26-G26</f>
        <v>-2537</v>
      </c>
      <c r="K26" s="18"/>
    </row>
    <row r="27" ht="20.05" customHeight="1">
      <c r="B27" s="31"/>
      <c r="C27" s="17">
        <v>4341</v>
      </c>
      <c r="D27" s="18">
        <v>24056</v>
      </c>
      <c r="E27" s="18">
        <f>D27-C27</f>
        <v>19715</v>
      </c>
      <c r="F27" s="18">
        <f>93+4908+677</f>
        <v>5678</v>
      </c>
      <c r="G27" s="18">
        <v>7117</v>
      </c>
      <c r="H27" s="18">
        <v>16939</v>
      </c>
      <c r="I27" s="18">
        <f>G27+H27-C27-E27</f>
        <v>0</v>
      </c>
      <c r="J27" s="18">
        <f>C27-G27</f>
        <v>-2776</v>
      </c>
      <c r="K27" s="18"/>
    </row>
    <row r="28" ht="20.05" customHeight="1">
      <c r="B28" s="32">
        <v>2021</v>
      </c>
      <c r="C28" s="17">
        <v>4433</v>
      </c>
      <c r="D28" s="18">
        <v>24526</v>
      </c>
      <c r="E28" s="18">
        <f>D28-C28</f>
        <v>20093</v>
      </c>
      <c r="F28" s="18">
        <f>96+5154+695</f>
        <v>5945</v>
      </c>
      <c r="G28" s="18">
        <v>6960</v>
      </c>
      <c r="H28" s="18">
        <v>17566</v>
      </c>
      <c r="I28" s="18">
        <f>G28+H28-C28-E28</f>
        <v>0</v>
      </c>
      <c r="J28" s="18">
        <f>C28-G28</f>
        <v>-2527</v>
      </c>
      <c r="K28" s="18"/>
    </row>
    <row r="29" ht="20.05" customHeight="1">
      <c r="B29" s="31"/>
      <c r="C29" s="17">
        <v>2475</v>
      </c>
      <c r="D29" s="18">
        <v>27044</v>
      </c>
      <c r="E29" s="18">
        <f>D29-C29</f>
        <v>24569</v>
      </c>
      <c r="F29" s="18">
        <f>100+5378+736</f>
        <v>6214</v>
      </c>
      <c r="G29" s="18">
        <v>9536</v>
      </c>
      <c r="H29" s="18">
        <v>17508</v>
      </c>
      <c r="I29" s="18">
        <f>G29+H29-C29-E29</f>
        <v>0</v>
      </c>
      <c r="J29" s="18">
        <f>C29-G29</f>
        <v>-7061</v>
      </c>
      <c r="K29" s="18"/>
    </row>
    <row r="30" ht="20.05" customHeight="1">
      <c r="B30" s="31"/>
      <c r="C30" s="17">
        <v>4819</v>
      </c>
      <c r="D30" s="18">
        <v>32191</v>
      </c>
      <c r="E30" s="18">
        <f>D30-C30</f>
        <v>27372</v>
      </c>
      <c r="F30" s="18">
        <f>769+5617+105</f>
        <v>6491</v>
      </c>
      <c r="G30" s="18">
        <v>11167</v>
      </c>
      <c r="H30" s="18">
        <v>21024</v>
      </c>
      <c r="I30" s="18">
        <f>G30+H30-C30-E30</f>
        <v>0</v>
      </c>
      <c r="J30" s="18">
        <f>C30-G30</f>
        <v>-6348</v>
      </c>
      <c r="K30" s="18"/>
    </row>
    <row r="31" ht="20.05" customHeight="1">
      <c r="B31" s="31"/>
      <c r="C31" s="17">
        <v>4394</v>
      </c>
      <c r="D31" s="18">
        <v>36124</v>
      </c>
      <c r="E31" s="18">
        <f>D31-C31</f>
        <v>31730</v>
      </c>
      <c r="F31" s="18">
        <f>778+5794+110</f>
        <v>6682</v>
      </c>
      <c r="G31" s="18">
        <v>11870</v>
      </c>
      <c r="H31" s="18">
        <v>24254</v>
      </c>
      <c r="I31" s="18">
        <f>G31+H31-C31-E31</f>
        <v>0</v>
      </c>
      <c r="J31" s="18">
        <f>C31-G31</f>
        <v>-7476</v>
      </c>
      <c r="K31" s="18"/>
    </row>
    <row r="32" ht="20.05" customHeight="1">
      <c r="B32" s="32">
        <v>2022</v>
      </c>
      <c r="C32" s="17">
        <f>C31+'Cashflow'!D32+'Cashflow'!E32+'Cashflow'!I32</f>
        <v>6105.1</v>
      </c>
      <c r="D32" s="18">
        <v>38990</v>
      </c>
      <c r="E32" s="18">
        <f>D32-C32</f>
        <v>32884.9</v>
      </c>
      <c r="F32" s="18">
        <f>F31+'Sales'!E32</f>
        <v>7041</v>
      </c>
      <c r="G32" s="18">
        <v>12468</v>
      </c>
      <c r="H32" s="18">
        <f>D32-G32</f>
        <v>26522</v>
      </c>
      <c r="I32" s="18">
        <f>G32+H32-C32-E32</f>
        <v>0</v>
      </c>
      <c r="J32" s="18">
        <f>C32-G32</f>
        <v>-6362.9</v>
      </c>
      <c r="K32" s="18">
        <v>-385.915313733590</v>
      </c>
    </row>
    <row r="33" ht="20.05" customHeight="1">
      <c r="B33" s="31"/>
      <c r="C33" s="17"/>
      <c r="D33" s="18"/>
      <c r="E33" s="18"/>
      <c r="F33" s="18"/>
      <c r="G33" s="18"/>
      <c r="H33" s="18"/>
      <c r="I33" s="18"/>
      <c r="J33" s="18"/>
      <c r="K33" s="18">
        <f>'Model'!F33</f>
        <v>-848.068856514160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7" customWidth="1"/>
    <col min="2" max="2" width="5.26562" style="37" customWidth="1"/>
    <col min="3" max="4" width="8.85156" style="37" customWidth="1"/>
    <col min="5" max="16384" width="16.3516" style="37" customWidth="1"/>
  </cols>
  <sheetData>
    <row r="1" ht="40" customHeight="1"/>
    <row r="2" ht="27.65" customHeight="1">
      <c r="B2" t="s" s="2">
        <v>56</v>
      </c>
      <c r="C2" s="2"/>
      <c r="D2" s="2"/>
    </row>
    <row r="3" ht="20.25" customHeight="1">
      <c r="B3" s="4"/>
      <c r="C3" t="s" s="38">
        <v>57</v>
      </c>
      <c r="D3" t="s" s="38">
        <v>40</v>
      </c>
    </row>
    <row r="4" ht="20.25" customHeight="1">
      <c r="B4" s="26">
        <v>2018</v>
      </c>
      <c r="C4" s="27">
        <v>2940</v>
      </c>
      <c r="D4" s="8"/>
    </row>
    <row r="5" ht="20.05" customHeight="1">
      <c r="B5" s="31"/>
      <c r="C5" s="17">
        <v>3970</v>
      </c>
      <c r="D5" s="23"/>
    </row>
    <row r="6" ht="20.05" customHeight="1">
      <c r="B6" s="31"/>
      <c r="C6" s="17">
        <v>4320</v>
      </c>
      <c r="D6" s="23"/>
    </row>
    <row r="7" ht="20.05" customHeight="1">
      <c r="B7" s="31"/>
      <c r="C7" s="17">
        <v>4300</v>
      </c>
      <c r="D7" s="23"/>
    </row>
    <row r="8" ht="20.05" customHeight="1">
      <c r="B8" s="32">
        <v>2019</v>
      </c>
      <c r="C8" s="17">
        <v>4200</v>
      </c>
      <c r="D8" s="23"/>
    </row>
    <row r="9" ht="20.05" customHeight="1">
      <c r="B9" s="31"/>
      <c r="C9" s="17">
        <v>2960</v>
      </c>
      <c r="D9" s="23"/>
    </row>
    <row r="10" ht="20.05" customHeight="1">
      <c r="B10" s="31"/>
      <c r="C10" s="17">
        <v>2260</v>
      </c>
      <c r="D10" s="23"/>
    </row>
    <row r="11" ht="20.05" customHeight="1">
      <c r="B11" s="31"/>
      <c r="C11" s="17">
        <v>2660</v>
      </c>
      <c r="D11" s="23"/>
    </row>
    <row r="12" ht="20.05" customHeight="1">
      <c r="B12" s="32">
        <v>2020</v>
      </c>
      <c r="C12" s="17">
        <v>2180</v>
      </c>
      <c r="D12" s="23"/>
    </row>
    <row r="13" ht="20.05" customHeight="1">
      <c r="B13" s="31"/>
      <c r="C13" s="17">
        <v>2020</v>
      </c>
      <c r="D13" s="18">
        <v>6443.052228078560</v>
      </c>
    </row>
    <row r="14" ht="20.05" customHeight="1">
      <c r="B14" s="31"/>
      <c r="C14" s="17">
        <v>1970</v>
      </c>
      <c r="D14" s="18">
        <v>4741.1824374921</v>
      </c>
    </row>
    <row r="15" ht="20.05" customHeight="1">
      <c r="B15" s="31"/>
      <c r="C15" s="17">
        <v>2810</v>
      </c>
      <c r="D15" s="18">
        <v>7374.0925589837</v>
      </c>
    </row>
    <row r="16" ht="20.05" customHeight="1">
      <c r="B16" s="32">
        <v>2021</v>
      </c>
      <c r="C16" s="17">
        <v>2540.44751</v>
      </c>
      <c r="D16" s="18">
        <v>4954.068572573550</v>
      </c>
    </row>
    <row r="17" ht="20.05" customHeight="1">
      <c r="B17" s="31"/>
      <c r="C17" s="17">
        <v>2010</v>
      </c>
      <c r="D17" s="18">
        <v>5810.028052835380</v>
      </c>
    </row>
    <row r="18" ht="20.05" customHeight="1">
      <c r="B18" s="31"/>
      <c r="C18" s="17">
        <v>2760</v>
      </c>
      <c r="D18" s="18">
        <v>9586.266810083371</v>
      </c>
    </row>
    <row r="19" ht="20.05" customHeight="1">
      <c r="B19" s="31"/>
      <c r="C19" s="17">
        <v>2710</v>
      </c>
      <c r="D19" s="18">
        <v>9586.266810083371</v>
      </c>
    </row>
    <row r="20" ht="20.05" customHeight="1">
      <c r="B20" s="32">
        <v>2022</v>
      </c>
      <c r="C20" s="17">
        <v>3290</v>
      </c>
      <c r="D20" s="18">
        <v>11329.2244119167</v>
      </c>
    </row>
    <row r="21" ht="20.05" customHeight="1">
      <c r="B21" s="31"/>
      <c r="C21" s="17">
        <v>4100</v>
      </c>
      <c r="D21" s="18">
        <v>12184.9380243919</v>
      </c>
    </row>
    <row r="22" ht="20.05" customHeight="1">
      <c r="B22" s="31"/>
      <c r="C22" s="17"/>
      <c r="D22" s="18">
        <f>'Model'!F46</f>
        <v>9012.313345888540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1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1.7109" style="39" customWidth="1"/>
    <col min="9" max="16384" width="16.3516" style="39" customWidth="1"/>
  </cols>
  <sheetData>
    <row r="1" ht="27.65" customHeight="1">
      <c r="A1" t="s" s="2">
        <v>58</v>
      </c>
      <c r="B1" s="2"/>
      <c r="C1" s="2"/>
      <c r="D1" s="2"/>
      <c r="E1" s="2"/>
      <c r="F1" s="2"/>
      <c r="G1" s="2"/>
      <c r="H1" s="2"/>
    </row>
    <row r="2" ht="20.25" customHeight="1">
      <c r="A2" s="35"/>
      <c r="B2" t="s" s="5">
        <v>12</v>
      </c>
      <c r="C2" t="s" s="5">
        <v>28</v>
      </c>
      <c r="D2" t="s" s="5">
        <v>59</v>
      </c>
      <c r="E2" t="s" s="5">
        <v>12</v>
      </c>
      <c r="F2" t="s" s="5">
        <v>28</v>
      </c>
      <c r="G2" t="s" s="5">
        <v>59</v>
      </c>
      <c r="H2" s="4"/>
    </row>
    <row r="3" ht="20.25" customHeight="1">
      <c r="A3" s="26">
        <v>2007</v>
      </c>
      <c r="B3" s="27"/>
      <c r="C3" s="29">
        <v>-243</v>
      </c>
      <c r="D3" s="29">
        <f>B3+C3</f>
        <v>-243</v>
      </c>
      <c r="E3" s="29">
        <f>B3</f>
        <v>0</v>
      </c>
      <c r="F3" s="29">
        <f>C3</f>
        <v>-243</v>
      </c>
      <c r="G3" s="29">
        <f>D3</f>
        <v>-243</v>
      </c>
      <c r="H3" s="8"/>
    </row>
    <row r="4" ht="20.05" customHeight="1">
      <c r="A4" s="32">
        <v>2008</v>
      </c>
      <c r="B4" s="17"/>
      <c r="C4" s="18">
        <v>-380</v>
      </c>
      <c r="D4" s="18">
        <f>B4+C4</f>
        <v>-380</v>
      </c>
      <c r="E4" s="18">
        <f>B4+E3</f>
        <v>0</v>
      </c>
      <c r="F4" s="18">
        <f>C4+F3</f>
        <v>-623</v>
      </c>
      <c r="G4" s="18">
        <f>D4+G3</f>
        <v>-623</v>
      </c>
      <c r="H4" s="23"/>
    </row>
    <row r="5" ht="20.05" customHeight="1">
      <c r="A5" s="32">
        <v>2009</v>
      </c>
      <c r="B5" s="17"/>
      <c r="C5" s="18">
        <v>-1008</v>
      </c>
      <c r="D5" s="18">
        <f>B5+C5</f>
        <v>-1008</v>
      </c>
      <c r="E5" s="18">
        <f>B5+E4</f>
        <v>0</v>
      </c>
      <c r="F5" s="18">
        <f>C5+F4</f>
        <v>-1631</v>
      </c>
      <c r="G5" s="18">
        <f>D5+G4</f>
        <v>-1631</v>
      </c>
      <c r="H5" s="23"/>
    </row>
    <row r="6" ht="20.05" customHeight="1">
      <c r="A6" s="32">
        <v>2010</v>
      </c>
      <c r="B6" s="17"/>
      <c r="C6" s="18">
        <v>-1236</v>
      </c>
      <c r="D6" s="18">
        <f>B6+C6</f>
        <v>-1236</v>
      </c>
      <c r="E6" s="18">
        <f>B6+E5</f>
        <v>0</v>
      </c>
      <c r="F6" s="18">
        <f>C6+F5</f>
        <v>-2867</v>
      </c>
      <c r="G6" s="18">
        <f>D6+G5</f>
        <v>-2867</v>
      </c>
      <c r="H6" s="23"/>
    </row>
    <row r="7" ht="20.05" customHeight="1">
      <c r="A7" s="32">
        <f>1+$A6</f>
        <v>2011</v>
      </c>
      <c r="B7" s="17">
        <v>5</v>
      </c>
      <c r="C7" s="18">
        <v>-1282</v>
      </c>
      <c r="D7" s="18">
        <f>B7+C7</f>
        <v>-1277</v>
      </c>
      <c r="E7" s="18">
        <f>B7+E6</f>
        <v>5</v>
      </c>
      <c r="F7" s="18">
        <f>C7+F6</f>
        <v>-4149</v>
      </c>
      <c r="G7" s="18">
        <f>D7+G6</f>
        <v>-4144</v>
      </c>
      <c r="H7" s="23"/>
    </row>
    <row r="8" ht="20.05" customHeight="1">
      <c r="A8" s="32">
        <f>1+$A7</f>
        <v>2012</v>
      </c>
      <c r="B8" s="17">
        <f>81-36</f>
        <v>45</v>
      </c>
      <c r="C8" s="18">
        <f>-1616-190</f>
        <v>-1806</v>
      </c>
      <c r="D8" s="18">
        <f>B8+C8</f>
        <v>-1761</v>
      </c>
      <c r="E8" s="18">
        <f>B8+E7</f>
        <v>50</v>
      </c>
      <c r="F8" s="18">
        <f>C8+F7</f>
        <v>-5955</v>
      </c>
      <c r="G8" s="18">
        <f>D8+G7</f>
        <v>-5905</v>
      </c>
      <c r="H8" s="23"/>
    </row>
    <row r="9" ht="20.05" customHeight="1">
      <c r="A9" s="32">
        <f>1+$A8</f>
        <v>2013</v>
      </c>
      <c r="B9" s="17">
        <f>68-34</f>
        <v>34</v>
      </c>
      <c r="C9" s="18">
        <f>-1595-1710-6</f>
        <v>-3311</v>
      </c>
      <c r="D9" s="18">
        <f>B9+C9</f>
        <v>-3277</v>
      </c>
      <c r="E9" s="18">
        <f>B9+E8</f>
        <v>84</v>
      </c>
      <c r="F9" s="18">
        <f>C9+F8</f>
        <v>-9266</v>
      </c>
      <c r="G9" s="18">
        <f>D9+G8</f>
        <v>-9182</v>
      </c>
      <c r="H9" s="23"/>
    </row>
    <row r="10" ht="20.05" customHeight="1">
      <c r="A10" s="32">
        <f>1+$A9</f>
        <v>2014</v>
      </c>
      <c r="B10" s="17">
        <f>2044-294</f>
        <v>1750</v>
      </c>
      <c r="C10" s="18">
        <f>-1004-7</f>
        <v>-1011</v>
      </c>
      <c r="D10" s="18">
        <f>B10+C10</f>
        <v>739</v>
      </c>
      <c r="E10" s="18">
        <f>B10+E9</f>
        <v>1834</v>
      </c>
      <c r="F10" s="18">
        <f>C10+F9</f>
        <v>-10277</v>
      </c>
      <c r="G10" s="18">
        <f>D10+G9</f>
        <v>-8443</v>
      </c>
      <c r="H10" s="23"/>
    </row>
    <row r="11" ht="20.05" customHeight="1">
      <c r="A11" s="32">
        <f>1+$A10</f>
        <v>2015</v>
      </c>
      <c r="B11" s="17">
        <f>189-830</f>
        <v>-641</v>
      </c>
      <c r="C11" s="18">
        <f>-706-402</f>
        <v>-1108</v>
      </c>
      <c r="D11" s="18">
        <f>B11+C11</f>
        <v>-1749</v>
      </c>
      <c r="E11" s="18">
        <f>B11+E10</f>
        <v>1193</v>
      </c>
      <c r="F11" s="18">
        <f>C11+F10</f>
        <v>-11385</v>
      </c>
      <c r="G11" s="18">
        <f>D11+G10</f>
        <v>-10192</v>
      </c>
      <c r="H11" s="23"/>
    </row>
    <row r="12" ht="20.05" customHeight="1">
      <c r="A12" s="32">
        <f>1+$A11</f>
        <v>2016</v>
      </c>
      <c r="B12" s="17">
        <f>250-603</f>
        <v>-353</v>
      </c>
      <c r="C12" s="18">
        <v>-611</v>
      </c>
      <c r="D12" s="18">
        <f>B12+C12</f>
        <v>-964</v>
      </c>
      <c r="E12" s="18">
        <f>B12+E11</f>
        <v>840</v>
      </c>
      <c r="F12" s="18">
        <f>C12+F11</f>
        <v>-11996</v>
      </c>
      <c r="G12" s="18">
        <f>D12+G11</f>
        <v>-11156</v>
      </c>
      <c r="H12" s="23"/>
    </row>
    <row r="13" ht="20.05" customHeight="1">
      <c r="A13" s="32">
        <f>1+$A12</f>
        <v>2017</v>
      </c>
      <c r="B13" s="17">
        <f>199-1470</f>
        <v>-1271</v>
      </c>
      <c r="C13" s="18">
        <v>-612</v>
      </c>
      <c r="D13" s="18">
        <f>B13+C13</f>
        <v>-1883</v>
      </c>
      <c r="E13" s="18">
        <f>B13+E12</f>
        <v>-431</v>
      </c>
      <c r="F13" s="18">
        <f>C13+F12</f>
        <v>-12608</v>
      </c>
      <c r="G13" s="18">
        <f>D13+G12</f>
        <v>-13039</v>
      </c>
      <c r="H13" s="23"/>
    </row>
    <row r="14" ht="20.05" customHeight="1">
      <c r="A14" s="32">
        <f>1+$A13</f>
        <v>2018</v>
      </c>
      <c r="B14" s="17">
        <f>268-281</f>
        <v>-13</v>
      </c>
      <c r="C14" s="18">
        <f>-3357-35</f>
        <v>-3392</v>
      </c>
      <c r="D14" s="18">
        <f>B14+C14</f>
        <v>-3405</v>
      </c>
      <c r="E14" s="18">
        <f>B14+E13</f>
        <v>-444</v>
      </c>
      <c r="F14" s="18">
        <f>C14+F13</f>
        <v>-16000</v>
      </c>
      <c r="G14" s="18">
        <f>D14+G13</f>
        <v>-16444</v>
      </c>
      <c r="H14" s="23"/>
    </row>
    <row r="15" ht="20.05" customHeight="1">
      <c r="A15" s="32">
        <f>1+$A14</f>
        <v>2019</v>
      </c>
      <c r="B15" s="17">
        <f>2-152</f>
        <v>-150</v>
      </c>
      <c r="C15" s="18">
        <f>-3768-74+2151</f>
        <v>-1691</v>
      </c>
      <c r="D15" s="18">
        <f>B15+C15</f>
        <v>-1841</v>
      </c>
      <c r="E15" s="18">
        <f>B15+E14</f>
        <v>-594</v>
      </c>
      <c r="F15" s="18">
        <f>C15+F14</f>
        <v>-17691</v>
      </c>
      <c r="G15" s="18">
        <f>D15+G14</f>
        <v>-18285</v>
      </c>
      <c r="H15" s="22">
        <f>AVERAGE(D3:D17)</f>
        <v>-1489.266666666670</v>
      </c>
    </row>
    <row r="16" ht="20.05" customHeight="1">
      <c r="A16" s="32">
        <f>1+$A15</f>
        <v>2020</v>
      </c>
      <c r="B16" s="17">
        <v>-50</v>
      </c>
      <c r="C16" s="18">
        <f>-3651-10-13</f>
        <v>-3674</v>
      </c>
      <c r="D16" s="18">
        <f>B16+C16</f>
        <v>-3724</v>
      </c>
      <c r="E16" s="18">
        <f>B16+E15</f>
        <v>-644</v>
      </c>
      <c r="F16" s="18">
        <f>C16+F15</f>
        <v>-21365</v>
      </c>
      <c r="G16" s="18">
        <f>D16+G15</f>
        <v>-22009</v>
      </c>
      <c r="H16" s="22">
        <f>AVERAGE(D13:D17)</f>
        <v>-2236.6</v>
      </c>
    </row>
    <row r="17" ht="20.05" customHeight="1">
      <c r="A17" s="32">
        <f>1+$A16</f>
        <v>2021</v>
      </c>
      <c r="B17" s="17">
        <v>-160</v>
      </c>
      <c r="C17" s="18">
        <f>-835-19+684</f>
        <v>-170</v>
      </c>
      <c r="D17" s="18">
        <f>B17+C17</f>
        <v>-330</v>
      </c>
      <c r="E17" s="18">
        <f>B17+E16</f>
        <v>-804</v>
      </c>
      <c r="F17" s="18">
        <f>C17+F16</f>
        <v>-21535</v>
      </c>
      <c r="G17" s="18">
        <f>D17+G16</f>
        <v>-22339</v>
      </c>
      <c r="H17" s="22">
        <f>D17</f>
        <v>-330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