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<sst xmlns="http://schemas.openxmlformats.org/spreadsheetml/2006/main" uniqueCount="63">
  <si>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</si>
  <si>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</si>
  <si>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</si>
  <si>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 xml:space="preserve">Cashflow  </t>
  </si>
  <si>
    <t>Growth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</si>
  <si>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</si>
  <si>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</si>
  <si>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</si>
  <si>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</si>
  <si>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</si>
  <si>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</si>
  <si>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</si>
  <si>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 </t>
  </si>
  <si>
    <t>Payout</t>
  </si>
  <si>
    <t xml:space="preserve">Equity 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</si>
  <si>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</si>
  <si>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</si>
  <si>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</si>
  <si>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</si>
  <si>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</si>
  <si>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</si>
  <si>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</si>
  <si>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</si>
  <si>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</si>
  <si>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</si>
  <si>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</si>
  <si>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Revolver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</si>
  <si>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</si>
  <si>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</si>
  <si>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</si>
  <si>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</si>
  <si>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</si>
  <si>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</si>
  <si>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</si>
  <si>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</si>
  <si>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</si>
  <si>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</si>
  <si>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</si>
  <si>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</si>
  <si>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</si>
  <si>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</si>
  <si>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</si>
  <si>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</si>
  <si>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</si>
  <si>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</si>
  <si>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Biological</t>
  </si>
  <si>
    <t>Net profit</t>
  </si>
  <si>
    <t xml:space="preserve">Sales growth </t>
  </si>
  <si>
    <t>Cost ratio</t>
  </si>
  <si>
    <t>Receipts</t>
  </si>
  <si>
    <t>Interest</t>
  </si>
  <si>
    <t>Leases</t>
  </si>
  <si>
    <t>Consumer</t>
  </si>
  <si>
    <t>Liabilities</t>
  </si>
  <si>
    <t>Equity</t>
  </si>
  <si>
    <t xml:space="preserve">Free cashflow </t>
  </si>
  <si>
    <t>Balance sheet</t>
  </si>
  <si>
    <t>Cash</t>
  </si>
  <si>
    <t>Assets</t>
  </si>
  <si>
    <t>Other assets</t>
  </si>
  <si>
    <t>Check</t>
  </si>
  <si>
    <t>Share price</t>
  </si>
  <si>
    <t>PSGO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</si>
</sst>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hadow val="1"/>
      <sz val="12"/>
      <color indexed="13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fillId="4" borderId="6" applyNumberFormat="1" applyFont="1" applyFill="1" applyBorder="1" applyAlignment="1" applyProtection="0">
      <alignment vertical="top" wrapText="1"/>
    </xf>
    <xf numFmtId="38" fontId="0" fillId="4" borderId="7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fillId="4" borderId="6" applyNumberFormat="1" applyFont="1" applyFill="1" applyBorder="1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3" fontId="0" fillId="4" borderId="6" applyNumberFormat="1" applyFont="1" applyFill="1" applyBorder="1" applyAlignment="1" applyProtection="0">
      <alignment vertical="top" wrapText="1"/>
    </xf>
    <xf numFmtId="3" fontId="0" fillId="4" borderId="7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5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  <xf numFmtId="0" fontId="2" fillId="5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ffffff"/>
      <rgbColor rgb="ffdbdbdb"/>
      <rgbColor rgb="ffb8b8b8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721221"/>
          <c:y val="0.0317515"/>
          <c:w val="0.848722"/>
          <c:h val="0.91228"/>
        </c:manualLayout>
      </c:layout>
      <c:barChart>
        <c:barDir val="col"/>
        <c:grouping val="clustered"/>
        <c:varyColors val="0"/>
        <c:ser>
          <c:idx val="0"/>
          <c:order val="0"/>
          <c:tx>
            <c:v>Region 1</c:v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</c:ser>
        <c:gapWidth val="40"/>
        <c:overlap val="-10"/>
        <c:axId val="2094734552"/>
        <c:axId val="2094734553"/>
      </c:barChart>
      <c:lineChart>
        <c:grouping val="standard"/>
        <c:varyColors val="0"/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0"/>
        <c:minorUnit val="2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17.5"/>
        <c:minorUnit val="8.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89406"/>
          <c:y val="0.0654189"/>
          <c:w val="0.245758"/>
          <c:h val="0.088503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596201</xdr:colOff>
      <xdr:row>1</xdr:row>
      <xdr:rowOff>230132</xdr:rowOff>
    </xdr:from>
    <xdr:to>
      <xdr:col>13</xdr:col>
      <xdr:colOff>826682</xdr:colOff>
      <xdr:row>48</xdr:row>
      <xdr:rowOff>208789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23701" y="521597"/>
          <a:ext cx="8942682" cy="120481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17</xdr:col>
      <xdr:colOff>277536</xdr:colOff>
      <xdr:row>64</xdr:row>
      <xdr:rowOff>211996</xdr:rowOff>
    </xdr:from>
    <xdr:to>
      <xdr:col>21</xdr:col>
      <xdr:colOff>318588</xdr:colOff>
      <xdr:row>83</xdr:row>
      <xdr:rowOff>97899</xdr:rowOff>
    </xdr:to>
    <xdr:graphicFrame>
      <xdr:nvGraphicFramePr>
        <xdr:cNvPr id="4" name="2 Axis Chart"/>
        <xdr:cNvGraphicFramePr/>
      </xdr:nvGraphicFramePr>
      <xdr:xfrm>
        <a:off x="12710836" y="16804545"/>
        <a:ext cx="5019453" cy="468777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77827</xdr:colOff>
      <xdr:row>56</xdr:row>
      <xdr:rowOff>98819</xdr:rowOff>
    </xdr:from>
    <xdr:to>
      <xdr:col>21</xdr:col>
      <xdr:colOff>482990</xdr:colOff>
      <xdr:row>65</xdr:row>
      <xdr:rowOff>121251</xdr:rowOff>
    </xdr:to>
    <xdr:sp>
      <xdr:nvSpPr>
        <xdr:cNvPr id="5" name="PALM OIL PLANTATIONS HABE STARTED TO MAKE MONEY WITH $1,000 PRICE.. BUT ONLY BY SLASHING INVESTMENT…PRICE MUST RISE FURTHER"/>
        <xdr:cNvSpPr txBox="1"/>
      </xdr:nvSpPr>
      <xdr:spPr>
        <a:xfrm>
          <a:off x="12511127" y="14669529"/>
          <a:ext cx="5383564" cy="22970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PALM OIL PLANTATIONS HABE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STARTED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TO MAKE MONEY WITH $1,000 PRICE.. BUT ONLY BY SLASHING INVESTMENT…PRICE MUST RISE FURTHER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5781" style="1" customWidth="1"/>
    <col min="2" max="2" width="15.1172" style="1" customWidth="1"/>
    <col min="3" max="6" width="8.69531" style="1" customWidth="1"/>
    <col min="7" max="16384" width="16.3516" style="1" customWidth="1"/>
  </cols>
  <sheetData>
    <row r="1" ht="22.9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AVERAGE('Sales'!H17:H20)</f>
        <v>0.186076927813196</v>
      </c>
      <c r="D4" s="8"/>
      <c r="E4" s="8"/>
      <c r="F4" s="9">
        <f>AVERAGE(C5:F5)</f>
        <v>0.0375</v>
      </c>
    </row>
    <row r="5" ht="20.05" customHeight="1">
      <c r="B5" t="s" s="10">
        <v>4</v>
      </c>
      <c r="C5" s="11">
        <v>0.05</v>
      </c>
      <c r="D5" s="12">
        <v>0.05</v>
      </c>
      <c r="E5" s="12">
        <v>0.07000000000000001</v>
      </c>
      <c r="F5" s="12">
        <v>-0.02</v>
      </c>
    </row>
    <row r="6" ht="20.05" customHeight="1">
      <c r="B6" t="s" s="10">
        <v>5</v>
      </c>
      <c r="C6" s="13">
        <f>'Sales'!C20*(1+C5)</f>
        <v>604.8</v>
      </c>
      <c r="D6" s="14">
        <f>C6*(1+D5)</f>
        <v>635.04</v>
      </c>
      <c r="E6" s="14">
        <f>D6*(1+E5)</f>
        <v>679.4928</v>
      </c>
      <c r="F6" s="14">
        <f>E6*(1+F5)</f>
        <v>665.902944</v>
      </c>
    </row>
    <row r="7" ht="20.05" customHeight="1">
      <c r="B7" t="s" s="10">
        <v>6</v>
      </c>
      <c r="C7" s="15">
        <f>AVERAGE('Sales'!I20)</f>
        <v>-0.779513888888889</v>
      </c>
      <c r="D7" s="16">
        <f>C7</f>
        <v>-0.779513888888889</v>
      </c>
      <c r="E7" s="16">
        <f>D7</f>
        <v>-0.779513888888889</v>
      </c>
      <c r="F7" s="16">
        <f>E7</f>
        <v>-0.779513888888889</v>
      </c>
    </row>
    <row r="8" ht="20.05" customHeight="1">
      <c r="B8" t="s" s="10">
        <v>7</v>
      </c>
      <c r="C8" s="17">
        <f>C6*C7</f>
        <v>-471.45</v>
      </c>
      <c r="D8" s="18">
        <f>D6*D7</f>
        <v>-495.0225</v>
      </c>
      <c r="E8" s="18">
        <f>E6*E7</f>
        <v>-529.674075</v>
      </c>
      <c r="F8" s="18">
        <f>F6*F7</f>
        <v>-519.0805935</v>
      </c>
    </row>
    <row r="9" ht="20.05" customHeight="1">
      <c r="B9" t="s" s="10">
        <v>8</v>
      </c>
      <c r="C9" s="17">
        <f>C6+C8</f>
        <v>133.35</v>
      </c>
      <c r="D9" s="18">
        <f>D6+D8</f>
        <v>140.0175</v>
      </c>
      <c r="E9" s="18">
        <f>E6+E8</f>
        <v>149.818725</v>
      </c>
      <c r="F9" s="18">
        <f>F6+F8</f>
        <v>146.8223505</v>
      </c>
    </row>
    <row r="10" ht="20.05" customHeight="1">
      <c r="B10" t="s" s="10">
        <v>9</v>
      </c>
      <c r="C10" s="17">
        <f>AVERAGE('Cashflow'!E25:E28)</f>
        <v>-17</v>
      </c>
      <c r="D10" s="18">
        <f>C10</f>
        <v>-17</v>
      </c>
      <c r="E10" s="18">
        <f>D10</f>
        <v>-17</v>
      </c>
      <c r="F10" s="18">
        <f>E10</f>
        <v>-17</v>
      </c>
    </row>
    <row r="11" ht="20.05" customHeight="1">
      <c r="B11" t="s" s="10">
        <v>10</v>
      </c>
      <c r="C11" s="19">
        <f>C12+C13+C15</f>
        <v>-116.35</v>
      </c>
      <c r="D11" s="20">
        <f>D12+D13+D15</f>
        <v>-123.0175</v>
      </c>
      <c r="E11" s="20">
        <f>E12+E13+E15</f>
        <v>-132.818725</v>
      </c>
      <c r="F11" s="20">
        <f>F12+F13+F15</f>
        <v>-129.8223505</v>
      </c>
    </row>
    <row r="12" ht="20.05" customHeight="1">
      <c r="B12" t="s" s="10">
        <v>11</v>
      </c>
      <c r="C12" s="19">
        <f>-('Balance sheet'!G16)/20</f>
        <v>-113.1</v>
      </c>
      <c r="D12" s="20">
        <f>-C27/20</f>
        <v>-107.445</v>
      </c>
      <c r="E12" s="20">
        <f>-D27/20</f>
        <v>-102.07275</v>
      </c>
      <c r="F12" s="20">
        <f>-E27/20</f>
        <v>-96.96911249999999</v>
      </c>
    </row>
    <row r="13" ht="20.05" customHeight="1">
      <c r="B13" t="s" s="10">
        <v>12</v>
      </c>
      <c r="C13" s="19">
        <f>-MIN(0,C16)</f>
        <v>16.22</v>
      </c>
      <c r="D13" s="20">
        <f>-MIN(C28,D16)</f>
        <v>5.231</v>
      </c>
      <c r="E13" s="20">
        <f>-MIN(D28,E16)</f>
        <v>-7.98223</v>
      </c>
      <c r="F13" s="20">
        <f>-MIN(E28,F16)</f>
        <v>-10.6887679</v>
      </c>
    </row>
    <row r="14" ht="20.05" customHeight="1">
      <c r="B14" t="s" s="10">
        <v>13</v>
      </c>
      <c r="C14" s="21">
        <v>0.2</v>
      </c>
      <c r="D14" s="22"/>
      <c r="E14" s="22"/>
      <c r="F14" s="22"/>
    </row>
    <row r="15" ht="20.05" customHeight="1">
      <c r="B15" t="s" s="10">
        <v>14</v>
      </c>
      <c r="C15" s="23">
        <f>IF(C22&gt;0,-C22*$C$14,0)</f>
        <v>-19.47</v>
      </c>
      <c r="D15" s="22">
        <f>IF(D22&gt;0,-D22*$C$14,0)</f>
        <v>-20.8035</v>
      </c>
      <c r="E15" s="22">
        <f>IF(E22&gt;0,-E22*$C$14,0)</f>
        <v>-22.763745</v>
      </c>
      <c r="F15" s="22">
        <f>IF(F22&gt;0,-F22*$C$14,0)</f>
        <v>-22.1644701</v>
      </c>
    </row>
    <row r="16" ht="20.05" customHeight="1">
      <c r="B16" t="s" s="10">
        <v>15</v>
      </c>
      <c r="C16" s="19">
        <f>C9+C10+C12+C15</f>
        <v>-16.22</v>
      </c>
      <c r="D16" s="20">
        <f>D9+D10+D12+D15</f>
        <v>-5.231</v>
      </c>
      <c r="E16" s="20">
        <f>E9+E10+E12+E15</f>
        <v>7.98223</v>
      </c>
      <c r="F16" s="20">
        <f>F9+F10+F12+F15</f>
        <v>10.6887679</v>
      </c>
    </row>
    <row r="17" ht="20.05" customHeight="1">
      <c r="B17" t="s" s="10">
        <v>16</v>
      </c>
      <c r="C17" s="19">
        <f>'Balance sheet'!C16</f>
        <v>403.7</v>
      </c>
      <c r="D17" s="20">
        <f>C19</f>
        <v>403.7</v>
      </c>
      <c r="E17" s="20">
        <f>D19</f>
        <v>403.7</v>
      </c>
      <c r="F17" s="20">
        <f>E19</f>
        <v>403.7</v>
      </c>
    </row>
    <row r="18" ht="20.05" customHeight="1">
      <c r="B18" t="s" s="10">
        <v>17</v>
      </c>
      <c r="C18" s="19">
        <f>C9+C10+C11</f>
        <v>0</v>
      </c>
      <c r="D18" s="20">
        <f>D9+D10+D11</f>
        <v>0</v>
      </c>
      <c r="E18" s="20">
        <f>E9+E10+E11</f>
        <v>0</v>
      </c>
      <c r="F18" s="20">
        <f>F9+F10+F11</f>
        <v>0</v>
      </c>
    </row>
    <row r="19" ht="20.05" customHeight="1">
      <c r="B19" t="s" s="10">
        <v>18</v>
      </c>
      <c r="C19" s="19">
        <f>C17+C18</f>
        <v>403.7</v>
      </c>
      <c r="D19" s="20">
        <f>D17+D18</f>
        <v>403.7</v>
      </c>
      <c r="E19" s="20">
        <f>E17+E18</f>
        <v>403.7</v>
      </c>
      <c r="F19" s="20">
        <f>F17+F18</f>
        <v>403.7</v>
      </c>
    </row>
    <row r="20" ht="20.05" customHeight="1">
      <c r="B20" t="s" s="24">
        <v>19</v>
      </c>
      <c r="C20" s="25"/>
      <c r="D20" s="26"/>
      <c r="E20" s="26"/>
      <c r="F20" s="18"/>
    </row>
    <row r="21" ht="20.05" customHeight="1">
      <c r="B21" t="s" s="10">
        <v>20</v>
      </c>
      <c r="C21" s="19">
        <f>-AVERAGE('Sales'!E20)</f>
        <v>-36</v>
      </c>
      <c r="D21" s="20">
        <f>C21</f>
        <v>-36</v>
      </c>
      <c r="E21" s="20">
        <f>D21</f>
        <v>-36</v>
      </c>
      <c r="F21" s="20">
        <f>E21</f>
        <v>-36</v>
      </c>
    </row>
    <row r="22" ht="20.05" customHeight="1">
      <c r="B22" t="s" s="10">
        <v>21</v>
      </c>
      <c r="C22" s="23">
        <f>C6+C8+C21</f>
        <v>97.34999999999999</v>
      </c>
      <c r="D22" s="22">
        <f>D6+D8+D21</f>
        <v>104.0175</v>
      </c>
      <c r="E22" s="22">
        <f>E6+E8+E21</f>
        <v>113.818725</v>
      </c>
      <c r="F22" s="22">
        <f>F6+F8+F21</f>
        <v>110.8223505</v>
      </c>
    </row>
    <row r="23" ht="20.05" customHeight="1">
      <c r="B23" t="s" s="24">
        <v>22</v>
      </c>
      <c r="C23" s="25"/>
      <c r="D23" s="26"/>
      <c r="E23" s="26"/>
      <c r="F23" s="22"/>
    </row>
    <row r="24" ht="20.05" customHeight="1">
      <c r="B24" t="s" s="10">
        <v>23</v>
      </c>
      <c r="C24" s="27">
        <f>'Balance sheet'!E16+'Balance sheet'!F16-C10</f>
        <v>4029.3</v>
      </c>
      <c r="D24" s="28">
        <f>C24-D10</f>
        <v>4046.3</v>
      </c>
      <c r="E24" s="28">
        <f>D24-E10</f>
        <v>4063.3</v>
      </c>
      <c r="F24" s="28">
        <f>E24-F10</f>
        <v>4080.3</v>
      </c>
    </row>
    <row r="25" ht="20.05" customHeight="1">
      <c r="B25" t="s" s="10">
        <v>24</v>
      </c>
      <c r="C25" s="27">
        <f>'Balance sheet'!F16-C21</f>
        <v>669</v>
      </c>
      <c r="D25" s="28">
        <f>C25-D21</f>
        <v>705</v>
      </c>
      <c r="E25" s="28">
        <f>D25-E21</f>
        <v>741</v>
      </c>
      <c r="F25" s="28">
        <f>E25-F21</f>
        <v>777</v>
      </c>
    </row>
    <row r="26" ht="20.05" customHeight="1">
      <c r="B26" t="s" s="10">
        <v>25</v>
      </c>
      <c r="C26" s="27">
        <f>C24-C25</f>
        <v>3360.3</v>
      </c>
      <c r="D26" s="28">
        <f>D24-D25</f>
        <v>3341.3</v>
      </c>
      <c r="E26" s="28">
        <f>E24-E25</f>
        <v>3322.3</v>
      </c>
      <c r="F26" s="28">
        <f>F24-F25</f>
        <v>3303.3</v>
      </c>
    </row>
    <row r="27" ht="20.05" customHeight="1">
      <c r="B27" t="s" s="10">
        <v>11</v>
      </c>
      <c r="C27" s="27">
        <f>'Balance sheet'!G16+C12</f>
        <v>2148.9</v>
      </c>
      <c r="D27" s="28">
        <f>C27+D12</f>
        <v>2041.455</v>
      </c>
      <c r="E27" s="28">
        <f>D27+E12</f>
        <v>1939.38225</v>
      </c>
      <c r="F27" s="28">
        <f>E27+F12</f>
        <v>1842.4131375</v>
      </c>
    </row>
    <row r="28" ht="20.05" customHeight="1">
      <c r="B28" t="s" s="10">
        <v>26</v>
      </c>
      <c r="C28" s="27">
        <f>C13</f>
        <v>16.22</v>
      </c>
      <c r="D28" s="28">
        <f>C28+D13</f>
        <v>21.451</v>
      </c>
      <c r="E28" s="28">
        <f>D28+E13</f>
        <v>13.46877</v>
      </c>
      <c r="F28" s="28">
        <f>E28+F13</f>
        <v>2.7800021</v>
      </c>
    </row>
    <row r="29" ht="20.05" customHeight="1">
      <c r="B29" t="s" s="10">
        <v>14</v>
      </c>
      <c r="C29" s="27">
        <f>'Balance sheet'!H16+C22+C15</f>
        <v>1598.88</v>
      </c>
      <c r="D29" s="28">
        <f>C29+D22+D15</f>
        <v>1682.094</v>
      </c>
      <c r="E29" s="28">
        <f>D29+E22+E15</f>
        <v>1773.14898</v>
      </c>
      <c r="F29" s="28">
        <f>E29+F22+F15</f>
        <v>1861.8068604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-1761.42</v>
      </c>
      <c r="D31" s="18">
        <f>D19-D27-D28</f>
        <v>-1659.206</v>
      </c>
      <c r="E31" s="18">
        <f>E19-E27-E28</f>
        <v>-1549.15102</v>
      </c>
      <c r="F31" s="18">
        <f>F19-F27-F28</f>
        <v>-1441.4931396</v>
      </c>
    </row>
    <row r="32" ht="20.05" customHeight="1">
      <c r="B32" t="s" s="24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'Cashflow'!O28-C11</f>
        <v>-1812.48</v>
      </c>
      <c r="D33" s="18">
        <f>C33-D11</f>
        <v>-1689.4625</v>
      </c>
      <c r="E33" s="18">
        <f>D33-E11</f>
        <v>-1556.643775</v>
      </c>
      <c r="F33" s="18">
        <f>E33-F11</f>
        <v>-1426.8214245</v>
      </c>
    </row>
    <row r="34" ht="20.05" customHeight="1">
      <c r="B34" t="s" s="10">
        <v>31</v>
      </c>
      <c r="C34" s="17"/>
      <c r="D34" s="18"/>
      <c r="E34" s="18"/>
      <c r="F34" s="18">
        <v>3430700285952</v>
      </c>
    </row>
    <row r="35" ht="20.05" customHeight="1">
      <c r="B35" t="s" s="10">
        <v>31</v>
      </c>
      <c r="C35" s="17"/>
      <c r="D35" s="18"/>
      <c r="E35" s="18"/>
      <c r="F35" s="18">
        <f>F34/1000000000</f>
        <v>3430.700285952</v>
      </c>
    </row>
    <row r="36" ht="20.05" customHeight="1">
      <c r="B36" t="s" s="10">
        <v>32</v>
      </c>
      <c r="C36" s="17"/>
      <c r="D36" s="18"/>
      <c r="E36" s="18"/>
      <c r="F36" s="29">
        <f>F35/(F19+F26)</f>
        <v>0.925465412989479</v>
      </c>
    </row>
    <row r="37" ht="20.05" customHeight="1">
      <c r="B37" t="s" s="10">
        <v>33</v>
      </c>
      <c r="C37" s="17"/>
      <c r="D37" s="18"/>
      <c r="E37" s="18"/>
      <c r="F37" s="16">
        <f>-(C15+D15+E15+F15)/F35</f>
        <v>0.0248350797208614</v>
      </c>
    </row>
    <row r="38" ht="20.05" customHeight="1">
      <c r="B38" t="s" s="10">
        <v>34</v>
      </c>
      <c r="C38" s="17"/>
      <c r="D38" s="18"/>
      <c r="E38" s="18"/>
      <c r="F38" s="18">
        <f>SUM(C9:F10)</f>
        <v>502.0085755</v>
      </c>
    </row>
    <row r="39" ht="20.05" customHeight="1">
      <c r="B39" t="s" s="10">
        <v>35</v>
      </c>
      <c r="C39" s="17"/>
      <c r="D39" s="18"/>
      <c r="E39" s="18"/>
      <c r="F39" s="18">
        <f>'Balance sheet'!E16/F38</f>
        <v>6.73155831378821</v>
      </c>
    </row>
    <row r="40" ht="20.05" customHeight="1">
      <c r="B40" t="s" s="10">
        <v>29</v>
      </c>
      <c r="C40" s="17"/>
      <c r="D40" s="18"/>
      <c r="E40" s="18"/>
      <c r="F40" s="18">
        <f>F35/F38</f>
        <v>6.83394757257887</v>
      </c>
    </row>
    <row r="41" ht="20.05" customHeight="1">
      <c r="B41" t="s" s="10">
        <v>36</v>
      </c>
      <c r="C41" s="17"/>
      <c r="D41" s="18"/>
      <c r="E41" s="18"/>
      <c r="F41" s="18">
        <v>10</v>
      </c>
    </row>
    <row r="42" ht="20.05" customHeight="1">
      <c r="B42" t="s" s="10">
        <v>37</v>
      </c>
      <c r="C42" s="17"/>
      <c r="D42" s="18"/>
      <c r="E42" s="18"/>
      <c r="F42" s="18">
        <f>F38*F41</f>
        <v>5020.085755</v>
      </c>
    </row>
    <row r="43" ht="20.05" customHeight="1">
      <c r="B43" t="s" s="10">
        <v>38</v>
      </c>
      <c r="C43" s="17"/>
      <c r="D43" s="18"/>
      <c r="E43" s="18"/>
      <c r="F43" s="18">
        <f>F35/F45</f>
        <v>18.8500015711648</v>
      </c>
    </row>
    <row r="44" ht="20.05" customHeight="1">
      <c r="B44" t="s" s="10">
        <v>39</v>
      </c>
      <c r="C44" s="17"/>
      <c r="D44" s="18"/>
      <c r="E44" s="18"/>
      <c r="F44" s="18">
        <f>F42/F43</f>
        <v>266.317524486540</v>
      </c>
    </row>
    <row r="45" ht="20.05" customHeight="1">
      <c r="B45" t="s" s="10">
        <v>40</v>
      </c>
      <c r="C45" s="17"/>
      <c r="D45" s="18"/>
      <c r="E45" s="18"/>
      <c r="F45" s="18">
        <v>182</v>
      </c>
    </row>
    <row r="46" ht="20.05" customHeight="1">
      <c r="B46" t="s" s="10">
        <v>41</v>
      </c>
      <c r="C46" s="17"/>
      <c r="D46" s="18"/>
      <c r="E46" s="18"/>
      <c r="F46" s="16">
        <f>F44/F45-1</f>
        <v>0.463283101574396</v>
      </c>
    </row>
    <row r="47" ht="20.05" customHeight="1">
      <c r="B47" t="s" s="10">
        <v>42</v>
      </c>
      <c r="C47" s="17"/>
      <c r="D47" s="18"/>
      <c r="E47" s="18"/>
      <c r="F47" s="16">
        <f>'Sales'!C20/'Sales'!C16-1</f>
        <v>0.651376146788991</v>
      </c>
    </row>
    <row r="48" ht="20.05" customHeight="1">
      <c r="B48" t="s" s="10">
        <v>43</v>
      </c>
      <c r="C48" s="17"/>
      <c r="D48" s="18"/>
      <c r="E48" s="18"/>
      <c r="F48" s="16">
        <f>'Sales'!F23/'Sales'!E23-1</f>
        <v>-0.0572325602713356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9375" style="30" customWidth="1"/>
    <col min="2" max="2" width="10.8438" style="30" customWidth="1"/>
    <col min="3" max="11" width="10.2656" style="30" customWidth="1"/>
    <col min="12" max="16384" width="16.3516" style="30" customWidth="1"/>
  </cols>
  <sheetData>
    <row r="1" ht="29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44</v>
      </c>
      <c r="C3" t="s" s="5">
        <v>5</v>
      </c>
      <c r="D3" t="s" s="5">
        <v>36</v>
      </c>
      <c r="E3" t="s" s="5">
        <v>24</v>
      </c>
      <c r="F3" t="s" s="5">
        <v>45</v>
      </c>
      <c r="G3" t="s" s="5">
        <v>46</v>
      </c>
      <c r="H3" t="s" s="5">
        <v>47</v>
      </c>
      <c r="I3" t="s" s="5">
        <v>48</v>
      </c>
      <c r="J3" t="s" s="5">
        <v>48</v>
      </c>
      <c r="K3" t="s" s="5">
        <v>36</v>
      </c>
    </row>
    <row r="4" ht="20.25" customHeight="1">
      <c r="B4" s="31">
        <v>2018</v>
      </c>
      <c r="C4" s="32">
        <v>172.4225</v>
      </c>
      <c r="D4" s="33"/>
      <c r="E4" s="33">
        <v>16</v>
      </c>
      <c r="F4" s="33">
        <v>0.0925</v>
      </c>
      <c r="G4" s="33">
        <v>-45.79</v>
      </c>
      <c r="H4" s="9"/>
      <c r="I4" s="34">
        <f>(E4+G4-F4-C4)/C4</f>
        <v>-1.17330974785773</v>
      </c>
      <c r="J4" s="34"/>
      <c r="K4" s="34"/>
    </row>
    <row r="5" ht="20.05" customHeight="1">
      <c r="B5" s="35"/>
      <c r="C5" s="17">
        <v>172.4225</v>
      </c>
      <c r="D5" s="18"/>
      <c r="E5" s="18">
        <v>16</v>
      </c>
      <c r="F5" s="18">
        <v>0.0925</v>
      </c>
      <c r="G5" s="18">
        <v>-45.79</v>
      </c>
      <c r="H5" s="16">
        <f>C5/C4-1</f>
        <v>0</v>
      </c>
      <c r="I5" s="16">
        <f>(E5+G5-F5-C5)/C5</f>
        <v>-1.17330974785773</v>
      </c>
      <c r="J5" s="16"/>
      <c r="K5" s="16"/>
    </row>
    <row r="6" ht="20.05" customHeight="1">
      <c r="B6" s="35"/>
      <c r="C6" s="17">
        <v>172.4225</v>
      </c>
      <c r="D6" s="18"/>
      <c r="E6" s="18">
        <v>16</v>
      </c>
      <c r="F6" s="18">
        <v>0.0925</v>
      </c>
      <c r="G6" s="18">
        <v>-45.79</v>
      </c>
      <c r="H6" s="16">
        <f>C6/C5-1</f>
        <v>0</v>
      </c>
      <c r="I6" s="16">
        <f>(E6+G6-F6-C6)/C6</f>
        <v>-1.17330974785773</v>
      </c>
      <c r="J6" s="16"/>
      <c r="K6" s="16"/>
    </row>
    <row r="7" ht="20.05" customHeight="1">
      <c r="B7" s="35"/>
      <c r="C7" s="17">
        <v>172.4225</v>
      </c>
      <c r="D7" s="18"/>
      <c r="E7" s="18">
        <v>16</v>
      </c>
      <c r="F7" s="18">
        <v>0.0925</v>
      </c>
      <c r="G7" s="18">
        <v>-45.79</v>
      </c>
      <c r="H7" s="16">
        <f>C7/C6-1</f>
        <v>0</v>
      </c>
      <c r="I7" s="16">
        <f>(E7+G7-F7-C7)/C7</f>
        <v>-1.17330974785773</v>
      </c>
      <c r="J7" s="16">
        <f>AVERAGE(I4:I7)</f>
        <v>-1.17330974785773</v>
      </c>
      <c r="K7" s="16"/>
    </row>
    <row r="8" ht="20.05" customHeight="1">
      <c r="B8" s="36">
        <v>2019</v>
      </c>
      <c r="C8" s="17">
        <v>207</v>
      </c>
      <c r="D8" s="18"/>
      <c r="E8" s="22">
        <v>21.3</v>
      </c>
      <c r="F8" s="18">
        <v>2.5</v>
      </c>
      <c r="G8" s="18">
        <v>-43</v>
      </c>
      <c r="H8" s="16">
        <f>C8/C7-1</f>
        <v>0.200539372761676</v>
      </c>
      <c r="I8" s="16">
        <f>(E8+G8-F8-C8)/C8</f>
        <v>-1.11690821256039</v>
      </c>
      <c r="J8" s="16">
        <f>AVERAGE(I5:I8)</f>
        <v>-1.1592093640334</v>
      </c>
      <c r="K8" s="16"/>
    </row>
    <row r="9" ht="20.05" customHeight="1">
      <c r="B9" s="35"/>
      <c r="C9" s="17">
        <f>350-C8</f>
        <v>143</v>
      </c>
      <c r="D9" s="18"/>
      <c r="E9" s="22">
        <v>21.3</v>
      </c>
      <c r="F9" s="18">
        <v>-3.3</v>
      </c>
      <c r="G9" s="18">
        <f>-58-G8</f>
        <v>-15</v>
      </c>
      <c r="H9" s="16">
        <f>C9/C8-1</f>
        <v>-0.309178743961353</v>
      </c>
      <c r="I9" s="16">
        <f>(E9+G9-F9-C9)/C9</f>
        <v>-0.932867132867133</v>
      </c>
      <c r="J9" s="16">
        <f>AVERAGE(I6:I9)</f>
        <v>-1.09909871028575</v>
      </c>
      <c r="K9" s="16"/>
    </row>
    <row r="10" ht="20.05" customHeight="1">
      <c r="B10" s="35"/>
      <c r="C10" s="17">
        <v>171</v>
      </c>
      <c r="D10" s="26"/>
      <c r="E10" s="22">
        <v>21.3</v>
      </c>
      <c r="F10" s="18">
        <v>0</v>
      </c>
      <c r="G10" s="18">
        <v>-38</v>
      </c>
      <c r="H10" s="16">
        <f>C10/C9-1</f>
        <v>0.195804195804196</v>
      </c>
      <c r="I10" s="16">
        <f>(E10+G10-F10-C10)/C10</f>
        <v>-1.09766081871345</v>
      </c>
      <c r="J10" s="16">
        <f>AVERAGE(I7:I10)</f>
        <v>-1.08018647799968</v>
      </c>
      <c r="K10" s="16"/>
    </row>
    <row r="11" ht="20.05" customHeight="1">
      <c r="B11" s="35"/>
      <c r="C11" s="17">
        <v>208</v>
      </c>
      <c r="D11" s="18"/>
      <c r="E11" s="22">
        <v>21.3</v>
      </c>
      <c r="F11" s="18">
        <f>10.1-SUM(F8:F10)</f>
        <v>10.9</v>
      </c>
      <c r="G11" s="18">
        <v>-87</v>
      </c>
      <c r="H11" s="16">
        <f>C11/C10-1</f>
        <v>0.216374269005848</v>
      </c>
      <c r="I11" s="16">
        <f>(E11+G11-F11-C11)/C11</f>
        <v>-1.36826923076923</v>
      </c>
      <c r="J11" s="16">
        <f>AVERAGE(I8:I11)</f>
        <v>-1.12892634872755</v>
      </c>
      <c r="K11" s="16"/>
    </row>
    <row r="12" ht="20.05" customHeight="1">
      <c r="B12" s="36">
        <v>2020</v>
      </c>
      <c r="C12" s="17">
        <v>254</v>
      </c>
      <c r="D12" s="18">
        <v>232</v>
      </c>
      <c r="E12" s="18">
        <f>13.6+0.2+13.2</f>
        <v>27</v>
      </c>
      <c r="F12" s="18">
        <v>9</v>
      </c>
      <c r="G12" s="18">
        <v>26</v>
      </c>
      <c r="H12" s="16">
        <f>C12/C11-1</f>
        <v>0.221153846153846</v>
      </c>
      <c r="I12" s="16">
        <f>(E12+G12-F12-C12)/C12</f>
        <v>-0.826771653543307</v>
      </c>
      <c r="J12" s="16">
        <f>AVERAGE(I9:I12)</f>
        <v>-1.05639220897328</v>
      </c>
      <c r="K12" s="16"/>
    </row>
    <row r="13" ht="20.05" customHeight="1">
      <c r="B13" s="35"/>
      <c r="C13" s="17">
        <v>221</v>
      </c>
      <c r="D13" s="18">
        <v>200.2</v>
      </c>
      <c r="E13" s="18">
        <f>27.5+0.5+26.5-E12</f>
        <v>27.5</v>
      </c>
      <c r="F13" s="18">
        <f>7-F12</f>
        <v>-2</v>
      </c>
      <c r="G13" s="18">
        <f>0.8-G12</f>
        <v>-25.2</v>
      </c>
      <c r="H13" s="16">
        <f>C13/C12-1</f>
        <v>-0.12992125984252</v>
      </c>
      <c r="I13" s="16">
        <f>(E13+G13-F13-C13)/C13</f>
        <v>-0.980542986425339</v>
      </c>
      <c r="J13" s="16">
        <f>AVERAGE(I10:I13)</f>
        <v>-1.06831117236283</v>
      </c>
      <c r="K13" s="16"/>
    </row>
    <row r="14" ht="20.05" customHeight="1">
      <c r="B14" s="35"/>
      <c r="C14" s="17">
        <v>226</v>
      </c>
      <c r="D14" s="26">
        <v>257</v>
      </c>
      <c r="E14" s="18">
        <f>0.2+39.7+41.6-SUM(E12:E13)</f>
        <v>27</v>
      </c>
      <c r="F14" s="18">
        <v>14</v>
      </c>
      <c r="G14" s="18">
        <v>1.2</v>
      </c>
      <c r="H14" s="16">
        <f>C14/C13-1</f>
        <v>0.0226244343891403</v>
      </c>
      <c r="I14" s="16">
        <f>(E14+G14-F14-C14)/C14</f>
        <v>-0.9371681415929199</v>
      </c>
      <c r="J14" s="16">
        <f>AVERAGE(I11:I14)</f>
        <v>-1.0281880030827</v>
      </c>
      <c r="K14" s="16"/>
    </row>
    <row r="15" ht="20.05" customHeight="1">
      <c r="B15" s="35"/>
      <c r="C15" s="17">
        <f>930.5-SUM(C12:C14)</f>
        <v>229.5</v>
      </c>
      <c r="D15" s="18">
        <v>282.5</v>
      </c>
      <c r="E15" s="18">
        <f>57.5+52.8+0.3-SUM(E12:E14)</f>
        <v>29.1</v>
      </c>
      <c r="F15" s="18">
        <f>24.9-SUM(F12:F14)</f>
        <v>3.9</v>
      </c>
      <c r="G15" s="18">
        <f>26.5-SUM(G12:G14)</f>
        <v>24.5</v>
      </c>
      <c r="H15" s="16">
        <f>C15/C14-1</f>
        <v>0.0154867256637168</v>
      </c>
      <c r="I15" s="16">
        <f>(E15+G15-F15-C15)/C15</f>
        <v>-0.783442265795207</v>
      </c>
      <c r="J15" s="16">
        <f>AVERAGE(I12:I15)</f>
        <v>-0.881981261839193</v>
      </c>
      <c r="K15" s="16"/>
    </row>
    <row r="16" ht="20.05" customHeight="1">
      <c r="B16" s="36">
        <v>2021</v>
      </c>
      <c r="C16" s="17">
        <v>348.8</v>
      </c>
      <c r="D16" s="18">
        <v>275.4</v>
      </c>
      <c r="E16" s="18">
        <f>16.3+14.7+0.1</f>
        <v>31.1</v>
      </c>
      <c r="F16" s="18">
        <v>2.8</v>
      </c>
      <c r="G16" s="18">
        <v>28.2</v>
      </c>
      <c r="H16" s="16">
        <f>C16/C15-1</f>
        <v>0.519825708061002</v>
      </c>
      <c r="I16" s="16">
        <f>(E16+G16-F16-C16)/C16</f>
        <v>-0.838016055045872</v>
      </c>
      <c r="J16" s="16">
        <f>AVERAGE(I13:I16)</f>
        <v>-0.884792362214835</v>
      </c>
      <c r="K16" s="16"/>
    </row>
    <row r="17" ht="20.05" customHeight="1">
      <c r="B17" s="35"/>
      <c r="C17" s="17">
        <f>647.6-C16</f>
        <v>298.8</v>
      </c>
      <c r="D17" s="18">
        <v>313.92</v>
      </c>
      <c r="E17" s="18">
        <f>18.4+10.2+0.3+1.2+0.1+29.4-E16</f>
        <v>28.5</v>
      </c>
      <c r="F17" s="18">
        <f>2.7-F16</f>
        <v>-0.1</v>
      </c>
      <c r="G17" s="18">
        <f>17.3-G16</f>
        <v>-10.9</v>
      </c>
      <c r="H17" s="16">
        <f>C17/C16-1</f>
        <v>-0.143348623853211</v>
      </c>
      <c r="I17" s="16">
        <f>(E17+G17-F17-C17)/C17</f>
        <v>-0.940763052208835</v>
      </c>
      <c r="J17" s="16">
        <f>AVERAGE(I14:I17)</f>
        <v>-0.8748473786607091</v>
      </c>
      <c r="K17" s="16"/>
    </row>
    <row r="18" ht="20.05" customHeight="1">
      <c r="B18" s="35"/>
      <c r="C18" s="17">
        <f>1070.9-SUM(C16:C17)</f>
        <v>423.3</v>
      </c>
      <c r="D18" s="26">
        <v>328.68</v>
      </c>
      <c r="E18" s="18">
        <f>49+44.1+0.1-SUM(E16:E17)</f>
        <v>33.6</v>
      </c>
      <c r="F18" s="18">
        <f>3.6-SUM(F16:F17)</f>
        <v>0.9</v>
      </c>
      <c r="G18" s="18">
        <f>61.4-SUM(G16:G17)</f>
        <v>44.1</v>
      </c>
      <c r="H18" s="16">
        <f>C18/C17-1</f>
        <v>0.416666666666667</v>
      </c>
      <c r="I18" s="16">
        <f>(E18+G18-F18-C18)/C18</f>
        <v>-0.8185683912119061</v>
      </c>
      <c r="J18" s="16">
        <f>AVERAGE(I15:I18)</f>
        <v>-0.845197441065455</v>
      </c>
      <c r="K18" s="16"/>
    </row>
    <row r="19" ht="20.05" customHeight="1">
      <c r="B19" s="35"/>
      <c r="C19" s="17">
        <f>1766.2-SUM(C16:C18)</f>
        <v>695.3</v>
      </c>
      <c r="D19" s="26">
        <v>465.63</v>
      </c>
      <c r="E19" s="22">
        <f>63+58.8+0.2-SUM(E16:E18)</f>
        <v>28.8</v>
      </c>
      <c r="F19" s="26">
        <f>12.6-SUM(F16:F18)</f>
        <v>9</v>
      </c>
      <c r="G19" s="18">
        <f>213.8-SUM(G16:G18)</f>
        <v>152.4</v>
      </c>
      <c r="H19" s="16">
        <f>C19/C18-1</f>
        <v>0.642570281124498</v>
      </c>
      <c r="I19" s="16">
        <f>(E19+G19-F19-C19)/C19</f>
        <v>-0.752337120667338</v>
      </c>
      <c r="J19" s="16">
        <f>AVERAGE(I16:I19)</f>
        <v>-0.837421154783488</v>
      </c>
      <c r="K19" s="16"/>
    </row>
    <row r="20" ht="20.05" customHeight="1">
      <c r="B20" s="36">
        <v>2022</v>
      </c>
      <c r="C20" s="17">
        <v>576</v>
      </c>
      <c r="D20" s="26">
        <v>730.0650000000001</v>
      </c>
      <c r="E20" s="26">
        <v>36</v>
      </c>
      <c r="F20" s="26">
        <v>5</v>
      </c>
      <c r="G20" s="18">
        <v>96</v>
      </c>
      <c r="H20" s="16">
        <f>C20/C19-1</f>
        <v>-0.171580612685172</v>
      </c>
      <c r="I20" s="16">
        <f>(E20+G20-F20-C20)/C20</f>
        <v>-0.779513888888889</v>
      </c>
      <c r="J20" s="16">
        <f>AVERAGE(I17:I20)</f>
        <v>-0.822795613244242</v>
      </c>
      <c r="K20" s="16">
        <v>-0.779513888888889</v>
      </c>
    </row>
    <row r="21" ht="20.05" customHeight="1">
      <c r="B21" s="35"/>
      <c r="C21" s="17"/>
      <c r="D21" s="26">
        <f>'Model'!C6</f>
        <v>604.8</v>
      </c>
      <c r="E21" s="26"/>
      <c r="F21" s="26"/>
      <c r="G21" s="18"/>
      <c r="H21" s="12"/>
      <c r="I21" s="12"/>
      <c r="J21" s="16"/>
      <c r="K21" s="16">
        <f>'Model'!C7</f>
        <v>-0.779513888888889</v>
      </c>
    </row>
    <row r="22" ht="20.05" customHeight="1">
      <c r="B22" s="35"/>
      <c r="C22" s="17"/>
      <c r="D22" s="18">
        <f>'Model'!D6</f>
        <v>635.04</v>
      </c>
      <c r="E22" s="26"/>
      <c r="F22" s="26"/>
      <c r="G22" s="18"/>
      <c r="H22" s="12"/>
      <c r="I22" s="12"/>
      <c r="J22" s="16"/>
      <c r="K22" s="16"/>
    </row>
    <row r="23" ht="20.05" customHeight="1">
      <c r="B23" s="35"/>
      <c r="C23" s="17"/>
      <c r="D23" s="18">
        <f>'Model'!E6</f>
        <v>679.4928</v>
      </c>
      <c r="E23" s="18">
        <f>SUM(C12:C20)</f>
        <v>3272.7</v>
      </c>
      <c r="F23" s="18">
        <f>SUM(D12:D20)</f>
        <v>3085.395</v>
      </c>
      <c r="G23" s="18"/>
      <c r="H23" s="12"/>
      <c r="I23" s="12"/>
      <c r="J23" s="16"/>
      <c r="K23" s="16"/>
    </row>
    <row r="24" ht="20.05" customHeight="1">
      <c r="B24" s="36">
        <v>2023</v>
      </c>
      <c r="C24" s="17"/>
      <c r="D24" s="18">
        <f>'Model'!F6</f>
        <v>665.902944</v>
      </c>
      <c r="E24" s="26"/>
      <c r="F24" s="26"/>
      <c r="G24" s="18"/>
      <c r="H24" s="12"/>
      <c r="I24" s="12"/>
      <c r="J24" s="16"/>
      <c r="K24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8281" style="37" customWidth="1"/>
    <col min="2" max="2" width="10.2812" style="37" customWidth="1"/>
    <col min="3" max="17" width="9.89844" style="37" customWidth="1"/>
    <col min="18" max="16384" width="16.3516" style="37" customWidth="1"/>
  </cols>
  <sheetData>
    <row r="1" ht="28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2.2" customHeight="1">
      <c r="B3" t="s" s="5">
        <v>1</v>
      </c>
      <c r="C3" t="s" s="5">
        <v>49</v>
      </c>
      <c r="D3" t="s" s="5">
        <v>8</v>
      </c>
      <c r="E3" t="s" s="5">
        <v>9</v>
      </c>
      <c r="F3" t="s" s="5">
        <v>50</v>
      </c>
      <c r="G3" t="s" s="5">
        <v>51</v>
      </c>
      <c r="H3" t="s" s="5">
        <v>52</v>
      </c>
      <c r="I3" t="s" s="5">
        <v>53</v>
      </c>
      <c r="J3" t="s" s="5">
        <v>54</v>
      </c>
      <c r="K3" t="s" s="5">
        <v>10</v>
      </c>
      <c r="L3" t="s" s="5">
        <v>55</v>
      </c>
      <c r="M3" t="s" s="5">
        <v>34</v>
      </c>
      <c r="N3" t="s" s="5">
        <v>36</v>
      </c>
      <c r="O3" t="s" s="5">
        <v>30</v>
      </c>
      <c r="P3" t="s" s="5">
        <v>36</v>
      </c>
      <c r="Q3" s="38"/>
    </row>
    <row r="4" ht="20.05" customHeight="1">
      <c r="B4" s="31">
        <v>2016</v>
      </c>
      <c r="C4" s="32">
        <v>0</v>
      </c>
      <c r="D4" s="33">
        <v>-5.0525</v>
      </c>
      <c r="E4" s="33">
        <v>-86.1525</v>
      </c>
      <c r="F4" s="33"/>
      <c r="G4" s="33"/>
      <c r="H4" s="33"/>
      <c r="I4" s="33"/>
      <c r="J4" s="33"/>
      <c r="K4" s="33">
        <v>140.1125</v>
      </c>
      <c r="L4" s="33">
        <f>F4+D4+E4</f>
        <v>-91.205</v>
      </c>
      <c r="M4" s="33"/>
      <c r="N4" s="33"/>
      <c r="O4" s="33">
        <f>-K4</f>
        <v>-140.1125</v>
      </c>
      <c r="P4" s="33"/>
      <c r="Q4" s="33">
        <v>1</v>
      </c>
    </row>
    <row r="5" ht="20.05" customHeight="1">
      <c r="B5" s="35"/>
      <c r="C5" s="17">
        <v>0</v>
      </c>
      <c r="D5" s="18">
        <v>-5.0525</v>
      </c>
      <c r="E5" s="18">
        <v>-86.1525</v>
      </c>
      <c r="F5" s="18"/>
      <c r="G5" s="18"/>
      <c r="H5" s="18"/>
      <c r="I5" s="18"/>
      <c r="J5" s="18"/>
      <c r="K5" s="18">
        <v>140.1125</v>
      </c>
      <c r="L5" s="18">
        <f>F5+D5+E5</f>
        <v>-91.205</v>
      </c>
      <c r="M5" s="18"/>
      <c r="N5" s="18"/>
      <c r="O5" s="18">
        <f>-K5+O4</f>
        <v>-280.225</v>
      </c>
      <c r="P5" s="18"/>
      <c r="Q5" s="18">
        <f>1+Q4</f>
        <v>2</v>
      </c>
    </row>
    <row r="6" ht="20.05" customHeight="1">
      <c r="B6" s="35"/>
      <c r="C6" s="17">
        <v>0</v>
      </c>
      <c r="D6" s="18">
        <v>-5.0525</v>
      </c>
      <c r="E6" s="18">
        <v>-86.1525</v>
      </c>
      <c r="F6" s="18"/>
      <c r="G6" s="18"/>
      <c r="H6" s="18"/>
      <c r="I6" s="18"/>
      <c r="J6" s="18"/>
      <c r="K6" s="18">
        <v>140.1125</v>
      </c>
      <c r="L6" s="18">
        <f>F6+D6+E6</f>
        <v>-91.205</v>
      </c>
      <c r="M6" s="18"/>
      <c r="N6" s="18"/>
      <c r="O6" s="18">
        <f>-K6+O5</f>
        <v>-420.3375</v>
      </c>
      <c r="P6" s="18"/>
      <c r="Q6" s="18">
        <f>1+Q5</f>
        <v>3</v>
      </c>
    </row>
    <row r="7" ht="20.05" customHeight="1">
      <c r="B7" s="35"/>
      <c r="C7" s="17">
        <v>0</v>
      </c>
      <c r="D7" s="18">
        <v>-5.0525</v>
      </c>
      <c r="E7" s="18">
        <v>-86.1525</v>
      </c>
      <c r="F7" s="18"/>
      <c r="G7" s="18"/>
      <c r="H7" s="18"/>
      <c r="I7" s="18"/>
      <c r="J7" s="18"/>
      <c r="K7" s="18">
        <v>140.1125</v>
      </c>
      <c r="L7" s="18">
        <f>F7+D7+E7</f>
        <v>-91.205</v>
      </c>
      <c r="M7" s="18"/>
      <c r="N7" s="18"/>
      <c r="O7" s="18">
        <f>-K7+O6</f>
        <v>-560.45</v>
      </c>
      <c r="P7" s="18"/>
      <c r="Q7" s="18">
        <f>1+Q6</f>
        <v>4</v>
      </c>
    </row>
    <row r="8" ht="20.05" customHeight="1">
      <c r="B8" s="36">
        <v>2017</v>
      </c>
      <c r="C8" s="17">
        <v>0</v>
      </c>
      <c r="D8" s="18">
        <v>32.6975</v>
      </c>
      <c r="E8" s="18">
        <v>-87.7175</v>
      </c>
      <c r="F8" s="18"/>
      <c r="G8" s="18"/>
      <c r="H8" s="18"/>
      <c r="I8" s="18"/>
      <c r="J8" s="18"/>
      <c r="K8" s="18">
        <v>82.545</v>
      </c>
      <c r="L8" s="18">
        <f>F8+D8+E8</f>
        <v>-55.02</v>
      </c>
      <c r="M8" s="18">
        <f>AVERAGE(L5:L8)</f>
        <v>-82.15875</v>
      </c>
      <c r="N8" s="18"/>
      <c r="O8" s="18">
        <f>-K8+O7</f>
        <v>-642.995</v>
      </c>
      <c r="P8" s="18"/>
      <c r="Q8" s="18">
        <f>1+Q7</f>
        <v>5</v>
      </c>
    </row>
    <row r="9" ht="20.05" customHeight="1">
      <c r="B9" s="35"/>
      <c r="C9" s="17">
        <v>0</v>
      </c>
      <c r="D9" s="18">
        <v>32.6975</v>
      </c>
      <c r="E9" s="18">
        <v>-87.7175</v>
      </c>
      <c r="F9" s="18"/>
      <c r="G9" s="18"/>
      <c r="H9" s="18"/>
      <c r="I9" s="18"/>
      <c r="J9" s="18"/>
      <c r="K9" s="18">
        <v>82.545</v>
      </c>
      <c r="L9" s="18">
        <f>F9+D9+E9</f>
        <v>-55.02</v>
      </c>
      <c r="M9" s="18">
        <f>AVERAGE(L6:L9)</f>
        <v>-73.1125</v>
      </c>
      <c r="N9" s="18"/>
      <c r="O9" s="18">
        <f>-K9+O8</f>
        <v>-725.54</v>
      </c>
      <c r="P9" s="18"/>
      <c r="Q9" s="18">
        <f>1+Q8</f>
        <v>6</v>
      </c>
    </row>
    <row r="10" ht="20.05" customHeight="1">
      <c r="B10" s="35"/>
      <c r="C10" s="17">
        <v>0</v>
      </c>
      <c r="D10" s="18">
        <v>32.6975</v>
      </c>
      <c r="E10" s="18">
        <v>-87.7175</v>
      </c>
      <c r="F10" s="18"/>
      <c r="G10" s="18"/>
      <c r="H10" s="18"/>
      <c r="I10" s="18"/>
      <c r="J10" s="18"/>
      <c r="K10" s="18">
        <v>82.545</v>
      </c>
      <c r="L10" s="18">
        <f>F10+D10+E10</f>
        <v>-55.02</v>
      </c>
      <c r="M10" s="18">
        <f>AVERAGE(L7:L10)</f>
        <v>-64.06625</v>
      </c>
      <c r="N10" s="18"/>
      <c r="O10" s="18">
        <f>-K10+O9</f>
        <v>-808.085</v>
      </c>
      <c r="P10" s="18"/>
      <c r="Q10" s="18">
        <f>1+Q9</f>
        <v>7</v>
      </c>
    </row>
    <row r="11" ht="20.05" customHeight="1">
      <c r="B11" s="35"/>
      <c r="C11" s="17">
        <v>0</v>
      </c>
      <c r="D11" s="18">
        <v>32.6975</v>
      </c>
      <c r="E11" s="18">
        <v>-87.7175</v>
      </c>
      <c r="F11" s="18"/>
      <c r="G11" s="18"/>
      <c r="H11" s="18"/>
      <c r="I11" s="18"/>
      <c r="J11" s="18"/>
      <c r="K11" s="18">
        <v>82.545</v>
      </c>
      <c r="L11" s="18">
        <f>F11+D11+E11</f>
        <v>-55.02</v>
      </c>
      <c r="M11" s="18">
        <f>AVERAGE(L8:L11)</f>
        <v>-55.02</v>
      </c>
      <c r="N11" s="18"/>
      <c r="O11" s="18">
        <f>-K11+O10</f>
        <v>-890.63</v>
      </c>
      <c r="P11" s="18"/>
      <c r="Q11" s="18">
        <f>1+Q10</f>
        <v>8</v>
      </c>
    </row>
    <row r="12" ht="20.05" customHeight="1">
      <c r="B12" s="36">
        <v>2018</v>
      </c>
      <c r="C12" s="17">
        <v>172.75</v>
      </c>
      <c r="D12" s="18">
        <v>15.25</v>
      </c>
      <c r="E12" s="18">
        <v>-75.08499999999999</v>
      </c>
      <c r="F12" s="18">
        <v>-39</v>
      </c>
      <c r="G12" s="18"/>
      <c r="H12" s="18"/>
      <c r="I12" s="18"/>
      <c r="J12" s="18"/>
      <c r="K12" s="18">
        <v>169.5</v>
      </c>
      <c r="L12" s="18">
        <f>F12+D12+E12</f>
        <v>-98.83499999999999</v>
      </c>
      <c r="M12" s="18">
        <f>AVERAGE(L9:L12)</f>
        <v>-65.97375</v>
      </c>
      <c r="N12" s="18"/>
      <c r="O12" s="18">
        <f>-K12+O11</f>
        <v>-1060.13</v>
      </c>
      <c r="P12" s="18"/>
      <c r="Q12" s="18">
        <f>1+Q11</f>
        <v>9</v>
      </c>
    </row>
    <row r="13" ht="20.05" customHeight="1">
      <c r="B13" s="35"/>
      <c r="C13" s="17">
        <v>172.75</v>
      </c>
      <c r="D13" s="18">
        <v>15.25</v>
      </c>
      <c r="E13" s="18">
        <v>-75.08499999999999</v>
      </c>
      <c r="F13" s="18">
        <v>-39</v>
      </c>
      <c r="G13" s="18"/>
      <c r="H13" s="18"/>
      <c r="I13" s="18"/>
      <c r="J13" s="18"/>
      <c r="K13" s="18">
        <v>169.5</v>
      </c>
      <c r="L13" s="18">
        <f>F13+D13+E13</f>
        <v>-98.83499999999999</v>
      </c>
      <c r="M13" s="18">
        <f>AVERAGE(L10:L13)</f>
        <v>-76.92749999999999</v>
      </c>
      <c r="N13" s="18"/>
      <c r="O13" s="18">
        <f>-K13+O12</f>
        <v>-1229.63</v>
      </c>
      <c r="P13" s="18"/>
      <c r="Q13" s="18">
        <f>1+Q12</f>
        <v>10</v>
      </c>
    </row>
    <row r="14" ht="20.05" customHeight="1">
      <c r="B14" s="35"/>
      <c r="C14" s="17">
        <v>172.75</v>
      </c>
      <c r="D14" s="18">
        <v>15.25</v>
      </c>
      <c r="E14" s="18">
        <v>-75.08499999999999</v>
      </c>
      <c r="F14" s="18">
        <v>-39</v>
      </c>
      <c r="G14" s="18"/>
      <c r="H14" s="18"/>
      <c r="I14" s="18"/>
      <c r="J14" s="18"/>
      <c r="K14" s="18">
        <v>169.5</v>
      </c>
      <c r="L14" s="18">
        <f>F14+D14+E14</f>
        <v>-98.83499999999999</v>
      </c>
      <c r="M14" s="18">
        <f>AVERAGE(L11:L14)</f>
        <v>-87.88124999999999</v>
      </c>
      <c r="N14" s="18"/>
      <c r="O14" s="18">
        <f>-K14+O13</f>
        <v>-1399.13</v>
      </c>
      <c r="P14" s="18"/>
      <c r="Q14" s="18">
        <f>1+Q13</f>
        <v>11</v>
      </c>
    </row>
    <row r="15" ht="20.05" customHeight="1">
      <c r="B15" s="35"/>
      <c r="C15" s="17">
        <v>172.75</v>
      </c>
      <c r="D15" s="18">
        <v>15.25</v>
      </c>
      <c r="E15" s="18">
        <v>-75.08499999999999</v>
      </c>
      <c r="F15" s="18">
        <v>-39</v>
      </c>
      <c r="G15" s="18"/>
      <c r="H15" s="18"/>
      <c r="I15" s="18"/>
      <c r="J15" s="18"/>
      <c r="K15" s="18">
        <v>169.5</v>
      </c>
      <c r="L15" s="18">
        <f>F15+D15+E15</f>
        <v>-98.83499999999999</v>
      </c>
      <c r="M15" s="18">
        <f>AVERAGE(L12:L15)</f>
        <v>-98.83499999999999</v>
      </c>
      <c r="N15" s="18"/>
      <c r="O15" s="18">
        <f>-K15+O14</f>
        <v>-1568.63</v>
      </c>
      <c r="P15" s="18"/>
      <c r="Q15" s="18">
        <f>1+Q14</f>
        <v>12</v>
      </c>
    </row>
    <row r="16" ht="20.05" customHeight="1">
      <c r="B16" s="36">
        <v>2019</v>
      </c>
      <c r="C16" s="17">
        <v>151</v>
      </c>
      <c r="D16" s="18">
        <v>28</v>
      </c>
      <c r="E16" s="18">
        <v>-103</v>
      </c>
      <c r="F16" s="18">
        <v>-44.8</v>
      </c>
      <c r="G16" s="18">
        <v>-5.5</v>
      </c>
      <c r="H16" s="18"/>
      <c r="I16" s="18"/>
      <c r="J16" s="18"/>
      <c r="K16" s="18">
        <v>-319</v>
      </c>
      <c r="L16" s="18">
        <f>F16+D16+E16</f>
        <v>-119.8</v>
      </c>
      <c r="M16" s="18">
        <f>AVERAGE(L13:L16)</f>
        <v>-104.07625</v>
      </c>
      <c r="N16" s="18"/>
      <c r="O16" s="18">
        <f>-K16+O15</f>
        <v>-1249.63</v>
      </c>
      <c r="P16" s="18"/>
      <c r="Q16" s="18">
        <f>1+Q15</f>
        <v>13</v>
      </c>
    </row>
    <row r="17" ht="20.05" customHeight="1">
      <c r="B17" s="35"/>
      <c r="C17" s="17">
        <v>150</v>
      </c>
      <c r="D17" s="18">
        <v>-11</v>
      </c>
      <c r="E17" s="18">
        <v>-148</v>
      </c>
      <c r="F17" s="18">
        <v>-47.2</v>
      </c>
      <c r="G17" s="18">
        <f>-7.2-G16</f>
        <v>-1.7</v>
      </c>
      <c r="H17" s="18"/>
      <c r="I17" s="18"/>
      <c r="J17" s="18"/>
      <c r="K17" s="18">
        <v>114</v>
      </c>
      <c r="L17" s="18">
        <f>F17+D17+E17</f>
        <v>-206.2</v>
      </c>
      <c r="M17" s="18">
        <f>AVERAGE(L14:L17)</f>
        <v>-130.9175</v>
      </c>
      <c r="N17" s="18"/>
      <c r="O17" s="18">
        <f>-K17+O16</f>
        <v>-1363.63</v>
      </c>
      <c r="P17" s="18"/>
      <c r="Q17" s="18">
        <f>1+Q16</f>
        <v>14</v>
      </c>
    </row>
    <row r="18" ht="20.05" customHeight="1">
      <c r="B18" s="35"/>
      <c r="C18" s="17">
        <v>221</v>
      </c>
      <c r="D18" s="18">
        <v>44</v>
      </c>
      <c r="E18" s="18">
        <f>-357-E17-E16</f>
        <v>-106</v>
      </c>
      <c r="F18" s="18">
        <v>-45</v>
      </c>
      <c r="G18" s="18">
        <f>-10.5-SUM(G16:G17)</f>
        <v>-3.3</v>
      </c>
      <c r="H18" s="18"/>
      <c r="I18" s="18"/>
      <c r="J18" s="18"/>
      <c r="K18" s="18">
        <v>145</v>
      </c>
      <c r="L18" s="18">
        <f>F18+D18+E18</f>
        <v>-107</v>
      </c>
      <c r="M18" s="18">
        <f>AVERAGE(L15:L18)</f>
        <v>-132.95875</v>
      </c>
      <c r="N18" s="18"/>
      <c r="O18" s="18">
        <f>-K18+O17</f>
        <v>-1508.63</v>
      </c>
      <c r="P18" s="18"/>
      <c r="Q18" s="18">
        <f>1+Q17</f>
        <v>15</v>
      </c>
    </row>
    <row r="19" ht="20.05" customHeight="1">
      <c r="B19" s="35"/>
      <c r="C19" s="25">
        <v>203</v>
      </c>
      <c r="D19" s="18">
        <v>8</v>
      </c>
      <c r="E19" s="18">
        <v>-83</v>
      </c>
      <c r="F19" s="26">
        <v>-42</v>
      </c>
      <c r="G19" s="18">
        <f>-14.4-SUM(G16:G18)</f>
        <v>-3.9</v>
      </c>
      <c r="H19" s="18"/>
      <c r="I19" s="18"/>
      <c r="J19" s="18"/>
      <c r="K19" s="18">
        <v>277</v>
      </c>
      <c r="L19" s="18">
        <f>F19+D19+E19</f>
        <v>-117</v>
      </c>
      <c r="M19" s="18">
        <f>AVERAGE(L16:L19)</f>
        <v>-137.5</v>
      </c>
      <c r="N19" s="18"/>
      <c r="O19" s="18">
        <f>-K19+O18</f>
        <v>-1785.63</v>
      </c>
      <c r="P19" s="18"/>
      <c r="Q19" s="18">
        <f>1+Q18</f>
        <v>16</v>
      </c>
    </row>
    <row r="20" ht="20.05" customHeight="1">
      <c r="B20" s="36">
        <v>2020</v>
      </c>
      <c r="C20" s="17">
        <v>207</v>
      </c>
      <c r="D20" s="18">
        <v>55</v>
      </c>
      <c r="E20" s="18">
        <v>-142</v>
      </c>
      <c r="F20" s="18">
        <v>-44.9</v>
      </c>
      <c r="G20" s="18">
        <v>-3.7</v>
      </c>
      <c r="H20" s="18">
        <v>-1.7</v>
      </c>
      <c r="I20" s="18">
        <f>K20-J20-F20-G20-H20</f>
        <v>30.3</v>
      </c>
      <c r="J20" s="18">
        <v>0</v>
      </c>
      <c r="K20" s="18">
        <v>-20</v>
      </c>
      <c r="L20" s="18">
        <f>F20+D20+E20</f>
        <v>-131.9</v>
      </c>
      <c r="M20" s="18">
        <f>AVERAGE(L17:L20)</f>
        <v>-140.525</v>
      </c>
      <c r="N20" s="18"/>
      <c r="O20" s="18">
        <f>-(I20+J20)+O19</f>
        <v>-1815.93</v>
      </c>
      <c r="P20" s="18"/>
      <c r="Q20" s="18">
        <f>1+Q19</f>
        <v>17</v>
      </c>
    </row>
    <row r="21" ht="20.05" customHeight="1">
      <c r="B21" s="35"/>
      <c r="C21" s="17">
        <f>436-C20</f>
        <v>229</v>
      </c>
      <c r="D21" s="18">
        <v>46.5</v>
      </c>
      <c r="E21" s="18">
        <v>-96</v>
      </c>
      <c r="F21" s="18">
        <v>-45.1</v>
      </c>
      <c r="G21" s="18">
        <f>-7-G20</f>
        <v>-3.3</v>
      </c>
      <c r="H21" s="18">
        <f>-7-H20</f>
        <v>-5.3</v>
      </c>
      <c r="I21" s="18">
        <f>K21-J21-F21-G21-H21</f>
        <v>-14.3</v>
      </c>
      <c r="J21" s="18">
        <v>0</v>
      </c>
      <c r="K21" s="18">
        <v>-68</v>
      </c>
      <c r="L21" s="18">
        <f>F21+D21+E21</f>
        <v>-94.59999999999999</v>
      </c>
      <c r="M21" s="18">
        <f>AVERAGE(L18:L21)</f>
        <v>-112.625</v>
      </c>
      <c r="N21" s="18"/>
      <c r="O21" s="18">
        <f>-(I21+J21)+O20</f>
        <v>-1801.63</v>
      </c>
      <c r="P21" s="18"/>
      <c r="Q21" s="18">
        <f>1+Q20</f>
        <v>18</v>
      </c>
    </row>
    <row r="22" ht="20.05" customHeight="1">
      <c r="B22" s="35"/>
      <c r="C22" s="17">
        <v>204</v>
      </c>
      <c r="D22" s="18">
        <v>42.5</v>
      </c>
      <c r="E22" s="18">
        <v>-45</v>
      </c>
      <c r="F22" s="18">
        <v>-43</v>
      </c>
      <c r="G22" s="18">
        <f>-11-SUM(G20:G21)</f>
        <v>-4</v>
      </c>
      <c r="H22" s="18">
        <f>-11-SUM(H20:H21)</f>
        <v>-4</v>
      </c>
      <c r="I22" s="18">
        <f>K22-J22-F22-G22-H22</f>
        <v>-11</v>
      </c>
      <c r="J22" s="18">
        <v>0</v>
      </c>
      <c r="K22" s="18">
        <v>-62</v>
      </c>
      <c r="L22" s="18">
        <f>F22+D22+E22</f>
        <v>-45.5</v>
      </c>
      <c r="M22" s="18">
        <f>AVERAGE(L19:L22)</f>
        <v>-97.25</v>
      </c>
      <c r="N22" s="18"/>
      <c r="O22" s="18">
        <f>-(I22+J22)+O21</f>
        <v>-1790.63</v>
      </c>
      <c r="P22" s="18"/>
      <c r="Q22" s="18">
        <f>1+Q21</f>
        <v>19</v>
      </c>
    </row>
    <row r="23" ht="20.05" customHeight="1">
      <c r="B23" s="35"/>
      <c r="C23" s="17">
        <f>935.4-SUM(C20:C22)</f>
        <v>295.4</v>
      </c>
      <c r="D23" s="18">
        <f>279.4-SUM(D20:D22)</f>
        <v>135.4</v>
      </c>
      <c r="E23" s="18">
        <f>-389.2-SUM(E20:E22)</f>
        <v>-106.2</v>
      </c>
      <c r="F23" s="18">
        <f>-176.8-SUM(F20:F22)</f>
        <v>-43.8</v>
      </c>
      <c r="G23" s="18">
        <f>-7.2-9.2-SUM(G20:G22)</f>
        <v>-5.4</v>
      </c>
      <c r="H23" s="18">
        <f>-7.2-SUM(H20:H22)</f>
        <v>3.8</v>
      </c>
      <c r="I23" s="18">
        <f>K23-J23-F23-G23-H23</f>
        <v>98.90000000000001</v>
      </c>
      <c r="J23" s="18">
        <v>0</v>
      </c>
      <c r="K23" s="18">
        <f>-96.5-SUM(K20:K22)</f>
        <v>53.5</v>
      </c>
      <c r="L23" s="18">
        <f>F23+D23+E23</f>
        <v>-14.6</v>
      </c>
      <c r="M23" s="18">
        <f>AVERAGE(L20:L23)</f>
        <v>-71.65000000000001</v>
      </c>
      <c r="N23" s="18"/>
      <c r="O23" s="18">
        <f>-(I23+J23)+O22</f>
        <v>-1889.53</v>
      </c>
      <c r="P23" s="18"/>
      <c r="Q23" s="18">
        <f>1+Q22</f>
        <v>20</v>
      </c>
    </row>
    <row r="24" ht="20.05" customHeight="1">
      <c r="B24" s="36">
        <v>2021</v>
      </c>
      <c r="C24" s="17">
        <v>250.7</v>
      </c>
      <c r="D24" s="18">
        <v>8.5</v>
      </c>
      <c r="E24" s="18">
        <v>34.1</v>
      </c>
      <c r="F24" s="18">
        <v>-42.1</v>
      </c>
      <c r="G24" s="18">
        <f>-2.4-2.4</f>
        <v>-4.8</v>
      </c>
      <c r="H24" s="18">
        <v>-2.4</v>
      </c>
      <c r="I24" s="18">
        <f>K24-J24-F24-G24-H24</f>
        <v>30.3</v>
      </c>
      <c r="J24" s="18">
        <v>0</v>
      </c>
      <c r="K24" s="18">
        <f>-19</f>
        <v>-19</v>
      </c>
      <c r="L24" s="18">
        <f>F24+D24+E24</f>
        <v>0.5</v>
      </c>
      <c r="M24" s="18">
        <f>AVERAGE(L21:L24)</f>
        <v>-38.55</v>
      </c>
      <c r="N24" s="18"/>
      <c r="O24" s="18">
        <f>-(I24+J24)+O23</f>
        <v>-1919.83</v>
      </c>
      <c r="P24" s="18"/>
      <c r="Q24" s="18">
        <f>1+Q23</f>
        <v>21</v>
      </c>
    </row>
    <row r="25" ht="20.05" customHeight="1">
      <c r="B25" s="35"/>
      <c r="C25" s="17">
        <f>522.3-C24</f>
        <v>271.6</v>
      </c>
      <c r="D25" s="18">
        <f>-34.4-D24</f>
        <v>-42.9</v>
      </c>
      <c r="E25" s="18">
        <f>38.9-E24</f>
        <v>4.8</v>
      </c>
      <c r="F25" s="18">
        <f>-82.9-F24</f>
        <v>-40.8</v>
      </c>
      <c r="G25" s="18">
        <f>-4.7-G24</f>
        <v>0.1</v>
      </c>
      <c r="H25" s="18">
        <f>-5-H24</f>
        <v>-2.6</v>
      </c>
      <c r="I25" s="18">
        <f>K25-J25-F25-G25-H25</f>
        <v>-25.2</v>
      </c>
      <c r="J25" s="18">
        <v>0</v>
      </c>
      <c r="K25" s="18">
        <f>-87.5-K24</f>
        <v>-68.5</v>
      </c>
      <c r="L25" s="18">
        <f>F25+D25+E25</f>
        <v>-78.90000000000001</v>
      </c>
      <c r="M25" s="18">
        <f>AVERAGE(L22:L25)</f>
        <v>-34.625</v>
      </c>
      <c r="N25" s="18"/>
      <c r="O25" s="18">
        <f>-(I25+J25)+O24</f>
        <v>-1894.63</v>
      </c>
      <c r="P25" s="18"/>
      <c r="Q25" s="18">
        <f>1+Q24</f>
        <v>22</v>
      </c>
    </row>
    <row r="26" ht="20.05" customHeight="1">
      <c r="B26" s="35"/>
      <c r="C26" s="17">
        <f>1009.4-SUM(C24:C25)</f>
        <v>487.1</v>
      </c>
      <c r="D26" s="18">
        <f>165.4-SUM(D24:D25)</f>
        <v>199.8</v>
      </c>
      <c r="E26" s="18">
        <f>-18.4-SUM(E24:E25)</f>
        <v>-57.3</v>
      </c>
      <c r="F26" s="18">
        <f>-123.6-SUM(F24:F25)</f>
        <v>-40.7</v>
      </c>
      <c r="G26" s="18">
        <f>-7.5-SUM(G24:G25)</f>
        <v>-2.8</v>
      </c>
      <c r="H26" s="18">
        <f>-7.7-SUM(H24:H25)</f>
        <v>-2.7</v>
      </c>
      <c r="I26" s="18">
        <f>K26-J26-F26-G26-H26</f>
        <v>31.5</v>
      </c>
      <c r="J26" s="18">
        <v>0</v>
      </c>
      <c r="K26" s="18">
        <f>-102.2-SUM(K24:K25)</f>
        <v>-14.7</v>
      </c>
      <c r="L26" s="18">
        <f>F26+D26+E26</f>
        <v>101.8</v>
      </c>
      <c r="M26" s="18">
        <f>AVERAGE(L23:L26)</f>
        <v>2.2</v>
      </c>
      <c r="N26" s="18"/>
      <c r="O26" s="18">
        <f>-(I26+J26)+O25</f>
        <v>-1926.13</v>
      </c>
      <c r="P26" s="18"/>
      <c r="Q26" s="18">
        <f>1+Q25</f>
        <v>23</v>
      </c>
    </row>
    <row r="27" ht="20.05" customHeight="1">
      <c r="B27" s="35"/>
      <c r="C27" s="17">
        <f>1624.5-SUM(C24:C26)</f>
        <v>615.1</v>
      </c>
      <c r="D27" s="18">
        <f>369-SUM(D24:D26)</f>
        <v>203.6</v>
      </c>
      <c r="E27" s="18">
        <f>-81.7-SUM(E24:E26)</f>
        <v>-63.3</v>
      </c>
      <c r="F27" s="18">
        <f>-164.2-SUM(F24:F26)</f>
        <v>-40.6</v>
      </c>
      <c r="G27" s="18">
        <f>-9.4-SUM(G24:G26)</f>
        <v>-1.9</v>
      </c>
      <c r="H27" s="18">
        <f>-11.1-SUM(H24:H26)</f>
        <v>-3.4</v>
      </c>
      <c r="I27" s="18">
        <f>K27-J27-F27-G27-H27</f>
        <v>27.9</v>
      </c>
      <c r="J27" s="18">
        <f>-0.2-SUM(J24:J26)</f>
        <v>-0.2</v>
      </c>
      <c r="K27" s="18">
        <f>-120.4-SUM(K24:K26)</f>
        <v>-18.2</v>
      </c>
      <c r="L27" s="18">
        <f>F27+D27+E27</f>
        <v>99.7</v>
      </c>
      <c r="M27" s="18">
        <f>AVERAGE(L24:L27)</f>
        <v>30.775</v>
      </c>
      <c r="N27" s="18"/>
      <c r="O27" s="18">
        <f>-(I27+J27)+O26</f>
        <v>-1953.83</v>
      </c>
      <c r="P27" s="18"/>
      <c r="Q27" s="18">
        <f>1+Q26</f>
        <v>24</v>
      </c>
    </row>
    <row r="28" ht="20.05" customHeight="1">
      <c r="B28" s="36">
        <v>2022</v>
      </c>
      <c r="C28" s="17">
        <v>610</v>
      </c>
      <c r="D28" s="18">
        <v>59.3</v>
      </c>
      <c r="E28" s="18">
        <v>47.8</v>
      </c>
      <c r="F28" s="18">
        <v>-41</v>
      </c>
      <c r="G28" s="18">
        <v>-1.3</v>
      </c>
      <c r="H28" s="18">
        <v>-3.7</v>
      </c>
      <c r="I28" s="18">
        <v>-25</v>
      </c>
      <c r="J28" s="18">
        <v>0</v>
      </c>
      <c r="K28" s="18">
        <v>-70.40000000000001</v>
      </c>
      <c r="L28" s="18">
        <f>F28+D28+E28</f>
        <v>66.09999999999999</v>
      </c>
      <c r="M28" s="18">
        <f>AVERAGE(L25:L28)</f>
        <v>47.175</v>
      </c>
      <c r="N28" s="18">
        <v>188.80923605</v>
      </c>
      <c r="O28" s="18">
        <f>-(I28+J28)+O27</f>
        <v>-1928.83</v>
      </c>
      <c r="P28" s="18">
        <v>-1393.68896454</v>
      </c>
      <c r="Q28" s="18">
        <f>1+Q27</f>
        <v>25</v>
      </c>
    </row>
    <row r="29" ht="20.05" customHeight="1">
      <c r="B29" s="35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39"/>
      <c r="N29" s="18">
        <f>SUM('Model'!F9:F10)</f>
        <v>129.8223505</v>
      </c>
      <c r="O29" s="39"/>
      <c r="P29" s="18">
        <f>'Model'!F33</f>
        <v>-1426.8214245</v>
      </c>
      <c r="Q29" s="18"/>
    </row>
  </sheetData>
  <mergeCells count="1">
    <mergeCell ref="B2:Q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4.7266" style="40" customWidth="1"/>
    <col min="2" max="2" width="7.95312" style="40" customWidth="1"/>
    <col min="3" max="5" width="12.1484" style="40" customWidth="1"/>
    <col min="6" max="11" width="9.05469" style="40" customWidth="1"/>
    <col min="12" max="16384" width="16.3516" style="40" customWidth="1"/>
  </cols>
  <sheetData>
    <row r="1" ht="130.15" customHeight="1"/>
    <row r="2" ht="27.65" customHeight="1">
      <c r="B2" t="s" s="2">
        <v>56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5">
        <v>1</v>
      </c>
      <c r="C3" t="s" s="5">
        <v>57</v>
      </c>
      <c r="D3" t="s" s="5">
        <v>58</v>
      </c>
      <c r="E3" t="s" s="5">
        <v>59</v>
      </c>
      <c r="F3" t="s" s="5">
        <v>24</v>
      </c>
      <c r="G3" t="s" s="5">
        <v>11</v>
      </c>
      <c r="H3" t="s" s="5">
        <v>54</v>
      </c>
      <c r="I3" t="s" s="5">
        <v>60</v>
      </c>
      <c r="J3" t="s" s="5">
        <v>28</v>
      </c>
      <c r="K3" t="s" s="5">
        <v>36</v>
      </c>
    </row>
    <row r="4" ht="20" customHeight="1">
      <c r="B4" s="31">
        <v>2016</v>
      </c>
      <c r="C4" s="32">
        <v>144</v>
      </c>
      <c r="D4" s="33">
        <v>2395</v>
      </c>
      <c r="E4" s="33">
        <f>D4-C4</f>
        <v>2251</v>
      </c>
      <c r="F4" s="33">
        <f>92.55+20.12+6.09</f>
        <v>118.76</v>
      </c>
      <c r="G4" s="33">
        <v>1296</v>
      </c>
      <c r="H4" s="33">
        <v>1099</v>
      </c>
      <c r="I4" s="33">
        <f>G4+H4-C4-E4</f>
        <v>0</v>
      </c>
      <c r="J4" s="33">
        <f>C4-G4</f>
        <v>-1152</v>
      </c>
      <c r="K4" s="33"/>
    </row>
    <row r="5" ht="20" customHeight="1">
      <c r="B5" s="36">
        <v>2017</v>
      </c>
      <c r="C5" s="17">
        <v>133</v>
      </c>
      <c r="D5" s="18">
        <v>2696</v>
      </c>
      <c r="E5" s="18">
        <f>D5-C5</f>
        <v>2563</v>
      </c>
      <c r="F5" s="18">
        <f>135.53+44.09+7.16</f>
        <v>186.78</v>
      </c>
      <c r="G5" s="18">
        <v>1913</v>
      </c>
      <c r="H5" s="18">
        <v>783</v>
      </c>
      <c r="I5" s="18">
        <f>G5+H5-C5-E5</f>
        <v>0</v>
      </c>
      <c r="J5" s="18">
        <f>C5-G5</f>
        <v>-1780</v>
      </c>
      <c r="K5" s="18"/>
    </row>
    <row r="6" ht="20" customHeight="1">
      <c r="B6" s="36">
        <v>2018</v>
      </c>
      <c r="C6" s="17">
        <v>572</v>
      </c>
      <c r="D6" s="18">
        <v>3357</v>
      </c>
      <c r="E6" s="18">
        <f>D6-C6</f>
        <v>2785</v>
      </c>
      <c r="F6" s="18">
        <f>180.59+99.29+7.95</f>
        <v>287.83</v>
      </c>
      <c r="G6" s="18">
        <v>2757</v>
      </c>
      <c r="H6" s="18">
        <v>600</v>
      </c>
      <c r="I6" s="18">
        <f>G6+H6-C6-E6</f>
        <v>0</v>
      </c>
      <c r="J6" s="18">
        <f>C6-G6</f>
        <v>-2185</v>
      </c>
      <c r="K6" s="18"/>
    </row>
    <row r="7" ht="20" customHeight="1">
      <c r="B7" s="36">
        <v>2019</v>
      </c>
      <c r="C7" s="17">
        <v>407</v>
      </c>
      <c r="D7" s="18">
        <v>3256</v>
      </c>
      <c r="E7" s="18">
        <f>D7-C7</f>
        <v>2849</v>
      </c>
      <c r="F7" s="18">
        <f>219.9+141.8</f>
        <v>361.7</v>
      </c>
      <c r="G7" s="18">
        <v>2079</v>
      </c>
      <c r="H7" s="18">
        <v>1177</v>
      </c>
      <c r="I7" s="18">
        <f>G7+H7-C7-E7</f>
        <v>0</v>
      </c>
      <c r="J7" s="18">
        <f>C7-G7</f>
        <v>-1672</v>
      </c>
      <c r="K7" s="18"/>
    </row>
    <row r="8" ht="20" customHeight="1">
      <c r="B8" s="36">
        <v>2020</v>
      </c>
      <c r="C8" s="17">
        <v>299</v>
      </c>
      <c r="D8" s="18">
        <v>3304</v>
      </c>
      <c r="E8" s="18">
        <f>D8-C8</f>
        <v>3005</v>
      </c>
      <c r="F8" s="18">
        <f>233.3+154.5</f>
        <v>387.8</v>
      </c>
      <c r="G8" s="18">
        <v>2101</v>
      </c>
      <c r="H8" s="18">
        <v>1203</v>
      </c>
      <c r="I8" s="18">
        <f>G8+H8-C8-E8</f>
        <v>0</v>
      </c>
      <c r="J8" s="18">
        <f>C8-G8</f>
        <v>-1802</v>
      </c>
      <c r="K8" s="18"/>
    </row>
    <row r="9" ht="20" customHeight="1">
      <c r="B9" s="35"/>
      <c r="C9" s="17">
        <v>182</v>
      </c>
      <c r="D9" s="18">
        <v>3228</v>
      </c>
      <c r="E9" s="18">
        <f>D9-C9</f>
        <v>3046</v>
      </c>
      <c r="F9" s="18">
        <f>247+168</f>
        <v>415</v>
      </c>
      <c r="G9" s="18">
        <v>2051</v>
      </c>
      <c r="H9" s="18">
        <v>1178</v>
      </c>
      <c r="I9" s="18">
        <f>G9+H9-C9-E9</f>
        <v>1</v>
      </c>
      <c r="J9" s="18">
        <f>C9-G9</f>
        <v>-1869</v>
      </c>
      <c r="K9" s="22"/>
    </row>
    <row r="10" ht="20" customHeight="1">
      <c r="B10" s="35"/>
      <c r="C10" s="17">
        <v>118</v>
      </c>
      <c r="D10" s="18">
        <v>3204</v>
      </c>
      <c r="E10" s="18">
        <f>D10-C10</f>
        <v>3086</v>
      </c>
      <c r="F10" s="18">
        <v>441</v>
      </c>
      <c r="G10" s="18">
        <v>2024</v>
      </c>
      <c r="H10" s="18">
        <v>1179</v>
      </c>
      <c r="I10" s="18">
        <f>G10+H10-C10-E10</f>
        <v>-1</v>
      </c>
      <c r="J10" s="18">
        <f>C10-G10</f>
        <v>-1906</v>
      </c>
      <c r="K10" s="18"/>
    </row>
    <row r="11" ht="20" customHeight="1">
      <c r="B11" s="35"/>
      <c r="C11" s="17">
        <v>201</v>
      </c>
      <c r="D11" s="18">
        <v>3402</v>
      </c>
      <c r="E11" s="18">
        <f>D11-C11</f>
        <v>3201</v>
      </c>
      <c r="F11" s="18">
        <f>274+193+9</f>
        <v>476</v>
      </c>
      <c r="G11" s="18">
        <v>2192</v>
      </c>
      <c r="H11" s="18">
        <v>1210</v>
      </c>
      <c r="I11" s="18">
        <f>G11+H11-C11-E11</f>
        <v>0</v>
      </c>
      <c r="J11" s="18">
        <f>C11-G11</f>
        <v>-1991</v>
      </c>
      <c r="K11" s="18"/>
    </row>
    <row r="12" ht="20" customHeight="1">
      <c r="B12" s="36">
        <v>2021</v>
      </c>
      <c r="C12" s="17">
        <v>224</v>
      </c>
      <c r="D12" s="18">
        <v>3415</v>
      </c>
      <c r="E12" s="18">
        <f>D12-C12</f>
        <v>3191</v>
      </c>
      <c r="F12" s="18">
        <f>290+208+9</f>
        <v>507</v>
      </c>
      <c r="G12" s="18">
        <v>2176</v>
      </c>
      <c r="H12" s="18">
        <v>1239</v>
      </c>
      <c r="I12" s="18">
        <f>G12+H12-C12-E12</f>
        <v>0</v>
      </c>
      <c r="J12" s="18">
        <f>C12-G12</f>
        <v>-1952</v>
      </c>
      <c r="K12" s="18"/>
    </row>
    <row r="13" ht="20" customHeight="1">
      <c r="B13" s="35"/>
      <c r="C13" s="17">
        <v>118</v>
      </c>
      <c r="D13" s="18">
        <v>3375</v>
      </c>
      <c r="E13" s="18">
        <f>D13-C13</f>
        <v>3257</v>
      </c>
      <c r="F13" s="18">
        <f>306+223+9</f>
        <v>538</v>
      </c>
      <c r="G13" s="18">
        <v>2148</v>
      </c>
      <c r="H13" s="18">
        <v>1227</v>
      </c>
      <c r="I13" s="18">
        <f>G13+H13-C13-E13</f>
        <v>0</v>
      </c>
      <c r="J13" s="18">
        <f>C13-G13</f>
        <v>-2030</v>
      </c>
      <c r="K13" s="18"/>
    </row>
    <row r="14" ht="20" customHeight="1">
      <c r="B14" s="35"/>
      <c r="C14" s="17">
        <v>245</v>
      </c>
      <c r="D14" s="18">
        <v>3532</v>
      </c>
      <c r="E14" s="18">
        <f>D14-C14</f>
        <v>3287</v>
      </c>
      <c r="F14" s="18">
        <f>322+237+9</f>
        <v>568</v>
      </c>
      <c r="G14" s="18">
        <v>2260</v>
      </c>
      <c r="H14" s="18">
        <v>1272</v>
      </c>
      <c r="I14" s="18">
        <f>G14+H14-C14-E14</f>
        <v>0</v>
      </c>
      <c r="J14" s="18">
        <f>C14-G14</f>
        <v>-2015</v>
      </c>
      <c r="K14" s="18"/>
    </row>
    <row r="15" ht="20" customHeight="1">
      <c r="B15" s="35"/>
      <c r="C15" s="17">
        <v>367</v>
      </c>
      <c r="D15" s="18">
        <v>3732</v>
      </c>
      <c r="E15" s="18">
        <f>D15-C15</f>
        <v>3365</v>
      </c>
      <c r="F15" s="18">
        <f>336+252+9</f>
        <v>597</v>
      </c>
      <c r="G15" s="18">
        <v>2307</v>
      </c>
      <c r="H15" s="18">
        <v>1425</v>
      </c>
      <c r="I15" s="18">
        <f>G15+H15-C15-E15</f>
        <v>0</v>
      </c>
      <c r="J15" s="18">
        <f>C15-G15</f>
        <v>-1940</v>
      </c>
      <c r="K15" s="18"/>
    </row>
    <row r="16" ht="20" customHeight="1">
      <c r="B16" s="36">
        <v>2022</v>
      </c>
      <c r="C16" s="17">
        <f>C15+'Cashflow'!D28+'Cashflow'!E28+'Cashflow'!K28</f>
        <v>403.7</v>
      </c>
      <c r="D16" s="18">
        <v>3783</v>
      </c>
      <c r="E16" s="18">
        <f>D16-C16</f>
        <v>3379.3</v>
      </c>
      <c r="F16" s="18">
        <f>F15+'Sales'!E20</f>
        <v>633</v>
      </c>
      <c r="G16" s="18">
        <v>2262</v>
      </c>
      <c r="H16" s="18">
        <f>D16-G16</f>
        <v>1521</v>
      </c>
      <c r="I16" s="18">
        <f>G16+H16-C16-E16</f>
        <v>0</v>
      </c>
      <c r="J16" s="18">
        <f>C16-G16</f>
        <v>-1858.3</v>
      </c>
      <c r="K16" s="18">
        <v>-1370.87218316</v>
      </c>
    </row>
    <row r="17" ht="20" customHeight="1">
      <c r="B17" s="35"/>
      <c r="C17" s="17"/>
      <c r="D17" s="18"/>
      <c r="E17" s="18"/>
      <c r="F17" s="18"/>
      <c r="G17" s="18"/>
      <c r="H17" s="18"/>
      <c r="I17" s="18"/>
      <c r="J17" s="18"/>
      <c r="K17" s="18">
        <f>'Model'!F31</f>
        <v>-1441.4931396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9219" style="41" customWidth="1"/>
    <col min="2" max="2" width="6.86719" style="41" customWidth="1"/>
    <col min="3" max="5" width="8.32031" style="41" customWidth="1"/>
    <col min="6" max="16384" width="16.3516" style="41" customWidth="1"/>
  </cols>
  <sheetData>
    <row r="1" ht="32.1" customHeight="1"/>
    <row r="2" ht="27.65" customHeight="1">
      <c r="B2" t="s" s="2">
        <v>61</v>
      </c>
      <c r="C2" s="2"/>
      <c r="D2" s="2"/>
      <c r="E2" s="2"/>
    </row>
    <row r="3" ht="20.25" customHeight="1">
      <c r="B3" s="4"/>
      <c r="C3" t="s" s="42">
        <v>62</v>
      </c>
      <c r="D3" t="s" s="42">
        <v>39</v>
      </c>
      <c r="E3" s="4"/>
    </row>
    <row r="4" ht="20.25" customHeight="1">
      <c r="B4" s="31">
        <v>2019</v>
      </c>
      <c r="C4" s="32"/>
      <c r="D4" s="33"/>
      <c r="E4" s="33"/>
    </row>
    <row r="5" ht="20.05" customHeight="1">
      <c r="B5" s="35"/>
      <c r="C5" s="17"/>
      <c r="D5" s="18"/>
      <c r="E5" s="18"/>
    </row>
    <row r="6" ht="20.05" customHeight="1">
      <c r="B6" s="35"/>
      <c r="C6" s="17">
        <f>191</f>
        <v>191</v>
      </c>
      <c r="D6" s="18"/>
      <c r="E6" s="18"/>
    </row>
    <row r="7" ht="20.05" customHeight="1">
      <c r="B7" s="35"/>
      <c r="C7" s="17">
        <v>200</v>
      </c>
      <c r="D7" s="18"/>
      <c r="E7" s="18"/>
    </row>
    <row r="8" ht="20.05" customHeight="1">
      <c r="B8" s="36">
        <v>2020</v>
      </c>
      <c r="C8" s="17">
        <v>115</v>
      </c>
      <c r="D8" s="39"/>
      <c r="E8" s="39"/>
    </row>
    <row r="9" ht="20.05" customHeight="1">
      <c r="B9" s="35"/>
      <c r="C9" s="17">
        <v>98</v>
      </c>
      <c r="D9" s="39"/>
      <c r="E9" s="39"/>
    </row>
    <row r="10" ht="20.05" customHeight="1">
      <c r="B10" s="35"/>
      <c r="C10" s="23">
        <v>111</v>
      </c>
      <c r="D10" s="39"/>
      <c r="E10" s="39"/>
    </row>
    <row r="11" ht="20.05" customHeight="1">
      <c r="B11" s="35"/>
      <c r="C11" s="23">
        <v>119</v>
      </c>
      <c r="D11" s="39"/>
      <c r="E11" s="39"/>
    </row>
    <row r="12" ht="20.05" customHeight="1">
      <c r="B12" s="36">
        <v>2021</v>
      </c>
      <c r="C12" s="23">
        <v>122</v>
      </c>
      <c r="D12" s="26">
        <v>134.844137332672</v>
      </c>
      <c r="E12" s="39"/>
    </row>
    <row r="13" ht="20.05" customHeight="1">
      <c r="B13" s="35"/>
      <c r="C13" s="23">
        <v>179</v>
      </c>
      <c r="D13" s="26">
        <v>120.670826833073</v>
      </c>
      <c r="E13" s="39"/>
    </row>
    <row r="14" ht="20.05" customHeight="1">
      <c r="B14" s="35"/>
      <c r="C14" s="23">
        <v>161</v>
      </c>
      <c r="D14" s="26">
        <v>145.383286251948</v>
      </c>
      <c r="E14" s="39"/>
    </row>
    <row r="15" ht="20.05" customHeight="1">
      <c r="B15" s="35"/>
      <c r="C15" s="23">
        <v>228</v>
      </c>
      <c r="D15" s="26">
        <v>145.383286251948</v>
      </c>
      <c r="E15" s="39"/>
    </row>
    <row r="16" ht="20.05" customHeight="1">
      <c r="B16" s="36">
        <v>2022</v>
      </c>
      <c r="C16" s="25">
        <v>187</v>
      </c>
      <c r="D16" s="18">
        <v>200.995500910190</v>
      </c>
      <c r="E16" s="39"/>
    </row>
    <row r="17" ht="20.05" customHeight="1">
      <c r="B17" s="35"/>
      <c r="C17" s="23">
        <v>182</v>
      </c>
      <c r="D17" s="18">
        <v>334.854769938354</v>
      </c>
      <c r="E17" s="39"/>
    </row>
    <row r="18" ht="20.05" customHeight="1">
      <c r="B18" s="35"/>
      <c r="C18" s="23"/>
      <c r="D18" s="26">
        <f>'Model'!F44</f>
        <v>266.317524486540</v>
      </c>
      <c r="E18" s="3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