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<sst xmlns="http://schemas.openxmlformats.org/spreadsheetml/2006/main" uniqueCount="100">
  <si>
    <t>Financial model</t>
  </si>
  <si>
    <t>$m</t>
  </si>
  <si>
    <t>4Q 2022</t>
  </si>
  <si>
    <t xml:space="preserve">Cashflow </t>
  </si>
  <si>
    <t>Growth</t>
  </si>
  <si>
    <t>Sales</t>
  </si>
  <si>
    <t>Costs ratio</t>
  </si>
  <si>
    <t>Cash costs</t>
  </si>
  <si>
    <t>Operating</t>
  </si>
  <si>
    <t>Investment</t>
  </si>
  <si>
    <t>Leases</t>
  </si>
  <si>
    <t>Finance</t>
  </si>
  <si>
    <t xml:space="preserve">Liabilities </t>
  </si>
  <si>
    <t>Revolver</t>
  </si>
  <si>
    <t xml:space="preserve">Payout </t>
  </si>
  <si>
    <t>Equity</t>
  </si>
  <si>
    <t>Before revolver</t>
  </si>
  <si>
    <t>Beginning cash</t>
  </si>
  <si>
    <t>Change</t>
  </si>
  <si>
    <t>Ending cash</t>
  </si>
  <si>
    <t>Profit</t>
  </si>
  <si>
    <t xml:space="preserve">Non cash costs  </t>
  </si>
  <si>
    <t>Net profit</t>
  </si>
  <si>
    <t>Balance sheet</t>
  </si>
  <si>
    <t>Other assets</t>
  </si>
  <si>
    <t xml:space="preserve">Depreciation </t>
  </si>
  <si>
    <t>Net other assets</t>
  </si>
  <si>
    <t>Check</t>
  </si>
  <si>
    <t xml:space="preserve">Net cash 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</si>
  <si>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</si>
  <si>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</si>
  <si>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</si>
  <si>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</si>
  <si>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</si>
  <si>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</si>
  <si>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</si>
  <si>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</si>
  <si>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</si>
  <si>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</si>
  <si>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</si>
  <si>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</si>
  <si>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</si>
  <si>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</si>
  <si>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>Sales forecasts</t>
  </si>
  <si>
    <t xml:space="preserve">Net sales </t>
  </si>
  <si>
    <t xml:space="preserve">Profit </t>
  </si>
  <si>
    <t xml:space="preserve">Sales growth </t>
  </si>
  <si>
    <t xml:space="preserve">Cost ratio </t>
  </si>
  <si>
    <t>Cashflow</t>
  </si>
  <si>
    <t>Receipts</t>
  </si>
  <si>
    <t xml:space="preserve">Operating </t>
  </si>
  <si>
    <t xml:space="preserve">Investment </t>
  </si>
  <si>
    <t>Interest</t>
  </si>
  <si>
    <t xml:space="preserve">Leases </t>
  </si>
  <si>
    <t xml:space="preserve">Equity </t>
  </si>
  <si>
    <t xml:space="preserve">Free cashflow </t>
  </si>
  <si>
    <t>Captial</t>
  </si>
  <si>
    <t xml:space="preserve">Cash </t>
  </si>
  <si>
    <t>Assets</t>
  </si>
  <si>
    <t xml:space="preserve">Check </t>
  </si>
  <si>
    <t xml:space="preserve">Net cash </t>
  </si>
  <si>
    <t>J Resources Asia Pasifik (PSAB)</t>
  </si>
  <si>
    <t>PSAB</t>
  </si>
  <si>
    <t>Target</t>
  </si>
  <si>
    <t>Capital-1</t>
  </si>
  <si>
    <t xml:space="preserve">Total </t>
  </si>
  <si>
    <t>Table 1-1</t>
  </si>
  <si>
    <t>Market value</t>
  </si>
  <si>
    <t xml:space="preserve">capital history </t>
  </si>
  <si>
    <t>of market cap paid in</t>
  </si>
  <si>
    <t xml:space="preserve">the last 12 months </t>
  </si>
  <si>
    <t xml:space="preserve">Start date </t>
  </si>
  <si>
    <t xml:space="preserve">Number of quarters </t>
  </si>
  <si>
    <t>Market value $m</t>
  </si>
  <si>
    <t xml:space="preserve">million dollars </t>
  </si>
  <si>
    <t>raised</t>
  </si>
  <si>
    <t xml:space="preserve">has </t>
  </si>
  <si>
    <t xml:space="preserve">liabilities </t>
  </si>
  <si>
    <t xml:space="preserve">by an average </t>
  </si>
  <si>
    <t>every year</t>
  </si>
  <si>
    <t>of market value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</si>
  <si>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</si>
  <si>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</si>
  <si>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</si>
  <si>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</si>
  <si>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</si>
  <si>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</si>
  <si>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</si>
  <si>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</si>
  <si>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</si>
  <si>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</si>
  <si>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</si>
  <si>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</si>
  <si>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</si>
  <si>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</si>
  <si>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</si>
  <si>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>up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</si>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</sst>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%"/>
    <numFmt numFmtId="60" formatCode="#,##0.0"/>
    <numFmt numFmtId="61" formatCode="0_);[Red]\(0\)"/>
    <numFmt numFmtId="62" formatCode="#,##0%_);[Red]\(#,##0%\)"/>
    <numFmt numFmtId="63" formatCode="[$IDR]0"/>
    <numFmt numFmtId="64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2"/>
      <color indexed="8"/>
      <name val="Helvetica"/>
    </font>
    <font>
      <b val="1"/>
      <sz val="20"/>
      <color indexed="8"/>
      <name val="Helvetica Neue"/>
    </font>
    <font>
      <b val="1"/>
      <sz val="20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49" fontId="2" fillId="2" borderId="9" applyNumberFormat="1" applyFont="1" applyFill="1" applyBorder="1" applyAlignment="1" applyProtection="0">
      <alignment horizontal="right" vertical="top" wrapText="1"/>
    </xf>
    <xf numFmtId="49" fontId="2" fillId="2" borderId="10" applyNumberFormat="1" applyFont="1" applyFill="1" applyBorder="1" applyAlignment="1" applyProtection="0">
      <alignment horizontal="right" vertical="top" wrapText="1"/>
    </xf>
    <xf numFmtId="0" fontId="2" fillId="4" borderId="11" applyNumberFormat="1" applyFont="1" applyFill="1" applyBorder="1" applyAlignment="1" applyProtection="0">
      <alignment vertical="top" wrapText="1"/>
    </xf>
    <xf numFmtId="3" fontId="3" borderId="12" applyNumberFormat="1" applyFont="1" applyFill="0" applyBorder="1" applyAlignment="1" applyProtection="0">
      <alignment horizontal="right" vertical="center" wrapText="1" readingOrder="1"/>
    </xf>
    <xf numFmtId="3" fontId="3" borderId="13" applyNumberFormat="1" applyFont="1" applyFill="0" applyBorder="1" applyAlignment="1" applyProtection="0">
      <alignment horizontal="right" vertical="center" wrapText="1" readingOrder="1"/>
    </xf>
    <xf numFmtId="0" fontId="2" fillId="4" borderId="14" applyNumberFormat="0" applyFont="1" applyFill="1" applyBorder="1" applyAlignment="1" applyProtection="0">
      <alignment vertical="top" wrapText="1"/>
    </xf>
    <xf numFmtId="0" fontId="2" fillId="4" borderId="14" applyNumberFormat="1" applyFont="1" applyFill="1" applyBorder="1" applyAlignment="1" applyProtection="0">
      <alignment vertical="top" wrapText="1"/>
    </xf>
    <xf numFmtId="3" fontId="0" borderId="13" applyNumberFormat="1" applyFont="1" applyFill="0" applyBorder="1" applyAlignment="1" applyProtection="0">
      <alignment horizontal="right" vertical="top" wrapText="1"/>
    </xf>
    <xf numFmtId="3" fontId="3" borderId="15" applyNumberFormat="1" applyFont="1" applyFill="0" applyBorder="1" applyAlignment="1" applyProtection="0">
      <alignment horizontal="right" vertical="center" wrapText="1" readingOrder="1"/>
    </xf>
    <xf numFmtId="0" fontId="0" borderId="16" applyNumberFormat="0" applyFont="1" applyFill="0" applyBorder="1" applyAlignment="1" applyProtection="0">
      <alignment vertical="top" wrapText="1"/>
    </xf>
    <xf numFmtId="0" fontId="2" fillId="4" borderId="17" applyNumberFormat="0" applyFont="1" applyFill="1" applyBorder="1" applyAlignment="1" applyProtection="0">
      <alignment vertical="top" wrapText="1"/>
    </xf>
    <xf numFmtId="3" fontId="0" borderId="15" applyNumberFormat="1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4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c6c6c6"/>
      <rgbColor rgb="ffbfbfbf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073"/>
          <c:y val="0.0446026"/>
          <c:w val="0.8710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 '!$F$3:$F$20</c:f>
              <c:numCache>
                <c:ptCount val="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-35.000000</c:v>
                </c:pt>
                <c:pt idx="6">
                  <c:v>-84.400000</c:v>
                </c:pt>
                <c:pt idx="7">
                  <c:v>-49.400000</c:v>
                </c:pt>
                <c:pt idx="8">
                  <c:v>187.600000</c:v>
                </c:pt>
                <c:pt idx="9">
                  <c:v>188.600000</c:v>
                </c:pt>
                <c:pt idx="10">
                  <c:v>137.600000</c:v>
                </c:pt>
                <c:pt idx="11">
                  <c:v>126.600000</c:v>
                </c:pt>
                <c:pt idx="12">
                  <c:v>210.600000</c:v>
                </c:pt>
                <c:pt idx="13">
                  <c:v>192.600000</c:v>
                </c:pt>
                <c:pt idx="14">
                  <c:v>244.600000</c:v>
                </c:pt>
                <c:pt idx="15">
                  <c:v>222.600000</c:v>
                </c:pt>
                <c:pt idx="16">
                  <c:v>83.072000</c:v>
                </c:pt>
                <c:pt idx="17">
                  <c:v>101.172000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 '!$G$3:$G$20</c:f>
              <c:numCache>
                <c:ptCount val="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161.000000</c:v>
                </c:pt>
                <c:pt idx="8">
                  <c:v>161.000000</c:v>
                </c:pt>
                <c:pt idx="9">
                  <c:v>161.000000</c:v>
                </c:pt>
                <c:pt idx="10">
                  <c:v>161.000000</c:v>
                </c:pt>
                <c:pt idx="11">
                  <c:v>161.000000</c:v>
                </c:pt>
                <c:pt idx="12">
                  <c:v>161.000000</c:v>
                </c:pt>
                <c:pt idx="13">
                  <c:v>161.000000</c:v>
                </c:pt>
                <c:pt idx="14">
                  <c:v>161.000000</c:v>
                </c:pt>
                <c:pt idx="15">
                  <c:v>161.000000</c:v>
                </c:pt>
                <c:pt idx="16">
                  <c:v>161.000000</c:v>
                </c:pt>
                <c:pt idx="17">
                  <c:v>161.000000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'!$B$3:$B$20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'Capital '!$H$3:$H$20</c:f>
              <c:numCache>
                <c:ptCount val="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-35.000000</c:v>
                </c:pt>
                <c:pt idx="6">
                  <c:v>-84.400000</c:v>
                </c:pt>
                <c:pt idx="7">
                  <c:v>111.600000</c:v>
                </c:pt>
                <c:pt idx="8">
                  <c:v>348.600000</c:v>
                </c:pt>
                <c:pt idx="9">
                  <c:v>349.600000</c:v>
                </c:pt>
                <c:pt idx="10">
                  <c:v>298.600000</c:v>
                </c:pt>
                <c:pt idx="11">
                  <c:v>287.600000</c:v>
                </c:pt>
                <c:pt idx="12">
                  <c:v>371.600000</c:v>
                </c:pt>
                <c:pt idx="13">
                  <c:v>353.600000</c:v>
                </c:pt>
                <c:pt idx="14">
                  <c:v>405.600000</c:v>
                </c:pt>
                <c:pt idx="15">
                  <c:v>383.600000</c:v>
                </c:pt>
                <c:pt idx="16">
                  <c:v>244.072000</c:v>
                </c:pt>
                <c:pt idx="17">
                  <c:v>262.172000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22.222"/>
        <c:minorUnit val="111.111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2268"/>
          <c:y val="0.0741946"/>
          <c:w val="0.38907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461858</xdr:colOff>
      <xdr:row>1</xdr:row>
      <xdr:rowOff>288188</xdr:rowOff>
    </xdr:from>
    <xdr:to>
      <xdr:col>13</xdr:col>
      <xdr:colOff>619775</xdr:colOff>
      <xdr:row>50</xdr:row>
      <xdr:rowOff>185070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05258" y="503453"/>
          <a:ext cx="8870118" cy="124755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288581</xdr:colOff>
      <xdr:row>22</xdr:row>
      <xdr:rowOff>215225</xdr:rowOff>
    </xdr:from>
    <xdr:to>
      <xdr:col>4</xdr:col>
      <xdr:colOff>895578</xdr:colOff>
      <xdr:row>32</xdr:row>
      <xdr:rowOff>86510</xdr:rowOff>
    </xdr:to>
    <xdr:graphicFrame>
      <xdr:nvGraphicFramePr>
        <xdr:cNvPr id="4" name="2D Line Chart"/>
        <xdr:cNvGraphicFramePr/>
      </xdr:nvGraphicFramePr>
      <xdr:xfrm>
        <a:off x="783881" y="6013410"/>
        <a:ext cx="3426398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448919</xdr:colOff>
      <xdr:row>21</xdr:row>
      <xdr:rowOff>127357</xdr:rowOff>
    </xdr:from>
    <xdr:to>
      <xdr:col>5</xdr:col>
      <xdr:colOff>671677</xdr:colOff>
      <xdr:row>22</xdr:row>
      <xdr:rowOff>249696</xdr:rowOff>
    </xdr:to>
    <xdr:sp>
      <xdr:nvSpPr>
        <xdr:cNvPr id="5" name="PSAB still 262 million dollars raised"/>
        <xdr:cNvSpPr txBox="1"/>
      </xdr:nvSpPr>
      <xdr:spPr>
        <a:xfrm>
          <a:off x="448919" y="5574387"/>
          <a:ext cx="4477259" cy="47349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PSAB still </a:t>
          </a:r>
          <a:r>
            <a:rPr b="1" baseline="0" cap="none" i="0" spc="0" strike="noStrike" sz="20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262</a:t>
          </a:r>
          <a:r>
            <a:rPr b="1" baseline="0" cap="none" i="0" spc="0" strike="noStrike" sz="2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million dollars raised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" style="1" customWidth="1"/>
    <col min="2" max="2" width="15.6172" style="1" customWidth="1"/>
    <col min="3" max="6" width="8.3125" style="1" customWidth="1"/>
    <col min="7" max="16384" width="16.3516" style="1" customWidth="1"/>
  </cols>
  <sheetData>
    <row r="1" ht="16.9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AVERAGE('Sales'!G25:G28)</f>
        <v>-0.228668323855693</v>
      </c>
      <c r="D4" s="8"/>
      <c r="E4" s="8"/>
      <c r="F4" s="9">
        <f>AVERAGE(C5:F5)</f>
        <v>0.0725</v>
      </c>
    </row>
    <row r="5" ht="20.05" customHeight="1">
      <c r="B5" t="s" s="10">
        <v>4</v>
      </c>
      <c r="C5" s="11">
        <v>0.2</v>
      </c>
      <c r="D5" s="12">
        <v>0.05</v>
      </c>
      <c r="E5" s="12">
        <v>0.07000000000000001</v>
      </c>
      <c r="F5" s="12">
        <v>-0.03</v>
      </c>
    </row>
    <row r="6" ht="20.05" customHeight="1">
      <c r="B6" t="s" s="10">
        <v>5</v>
      </c>
      <c r="C6" s="13">
        <f>'Sales'!C28*(1+C5)</f>
        <v>34.68</v>
      </c>
      <c r="D6" s="14">
        <f>C6*(1+D5)</f>
        <v>36.414</v>
      </c>
      <c r="E6" s="14">
        <f>D6*(1+E5)</f>
        <v>38.96298</v>
      </c>
      <c r="F6" s="14">
        <f>E6*(1+F5)</f>
        <v>37.7940906</v>
      </c>
    </row>
    <row r="7" ht="20.05" customHeight="1">
      <c r="B7" t="s" s="10">
        <v>6</v>
      </c>
      <c r="C7" s="15">
        <f>AVERAGE('Sales'!H28)</f>
        <v>-0.5847750865051899</v>
      </c>
      <c r="D7" s="16">
        <f>C7</f>
        <v>-0.5847750865051899</v>
      </c>
      <c r="E7" s="16">
        <f>D7</f>
        <v>-0.5847750865051899</v>
      </c>
      <c r="F7" s="16">
        <f>E7</f>
        <v>-0.5847750865051899</v>
      </c>
    </row>
    <row r="8" ht="20.05" customHeight="1">
      <c r="B8" t="s" s="10">
        <v>7</v>
      </c>
      <c r="C8" s="17">
        <f>C7*C6</f>
        <v>-20.28</v>
      </c>
      <c r="D8" s="18">
        <f>D7*D6</f>
        <v>-21.294</v>
      </c>
      <c r="E8" s="18">
        <f>E7*E6</f>
        <v>-22.78458</v>
      </c>
      <c r="F8" s="18">
        <f>F7*F6</f>
        <v>-22.1010426</v>
      </c>
    </row>
    <row r="9" ht="20.05" customHeight="1">
      <c r="B9" t="s" s="10">
        <v>8</v>
      </c>
      <c r="C9" s="17">
        <f>C6+C8</f>
        <v>14.4</v>
      </c>
      <c r="D9" s="18">
        <f>D6+D8</f>
        <v>15.12</v>
      </c>
      <c r="E9" s="18">
        <f>E6+E8</f>
        <v>16.1784</v>
      </c>
      <c r="F9" s="18">
        <f>F6+F8</f>
        <v>15.693048</v>
      </c>
    </row>
    <row r="10" ht="20.05" customHeight="1">
      <c r="B10" t="s" s="10">
        <v>9</v>
      </c>
      <c r="C10" s="17">
        <f>AVERAGE('Cashflow '!E20)</f>
        <v>-5.078</v>
      </c>
      <c r="D10" s="18">
        <f>C10</f>
        <v>-5.078</v>
      </c>
      <c r="E10" s="18">
        <f>D10</f>
        <v>-5.078</v>
      </c>
      <c r="F10" s="18">
        <f>E10</f>
        <v>-5.078</v>
      </c>
    </row>
    <row r="11" ht="20.05" customHeight="1">
      <c r="B11" t="s" s="10">
        <v>10</v>
      </c>
      <c r="C11" s="17">
        <f>AVERAGE('Cashflow '!G28)</f>
        <v>-1</v>
      </c>
      <c r="D11" s="18">
        <f>C11</f>
        <v>-1</v>
      </c>
      <c r="E11" s="18">
        <f>D11</f>
        <v>-1</v>
      </c>
      <c r="F11" s="18">
        <f>E11</f>
        <v>-1</v>
      </c>
    </row>
    <row r="12" ht="20.05" customHeight="1">
      <c r="B12" t="s" s="10">
        <v>11</v>
      </c>
      <c r="C12" s="17">
        <f>C13+C16+C14</f>
        <v>-9.321999999999999</v>
      </c>
      <c r="D12" s="18">
        <f>D13+D16+D14</f>
        <v>-9.042</v>
      </c>
      <c r="E12" s="18">
        <f>E13+E16+E14</f>
        <v>-10.1004</v>
      </c>
      <c r="F12" s="18">
        <f>F13+F16+F14</f>
        <v>-9.615048</v>
      </c>
    </row>
    <row r="13" ht="20.05" customHeight="1">
      <c r="B13" t="s" s="10">
        <v>12</v>
      </c>
      <c r="C13" s="17">
        <f>-('Balance Sheet '!G28)/20</f>
        <v>-21.65</v>
      </c>
      <c r="D13" s="18">
        <f>-C28/20</f>
        <v>-20.5675</v>
      </c>
      <c r="E13" s="18">
        <f>-D28/20</f>
        <v>-19.539125</v>
      </c>
      <c r="F13" s="18">
        <f>-E28/20</f>
        <v>-18.56216875</v>
      </c>
    </row>
    <row r="14" ht="20.05" customHeight="1">
      <c r="B14" t="s" s="10">
        <v>13</v>
      </c>
      <c r="C14" s="17">
        <f>-MIN(0,C17)</f>
        <v>12.328</v>
      </c>
      <c r="D14" s="18">
        <f>-MIN(C29,D17)</f>
        <v>11.5255</v>
      </c>
      <c r="E14" s="18">
        <f>-MIN(D29,E17)</f>
        <v>9.438725</v>
      </c>
      <c r="F14" s="18">
        <f>-MIN(E29,F17)</f>
        <v>8.94712075</v>
      </c>
    </row>
    <row r="15" ht="20.05" customHeight="1">
      <c r="B15" t="s" s="10">
        <v>14</v>
      </c>
      <c r="C15" s="19">
        <v>0</v>
      </c>
      <c r="D15" s="18"/>
      <c r="E15" s="18"/>
      <c r="F15" s="18"/>
    </row>
    <row r="16" ht="20.05" customHeight="1">
      <c r="B16" t="s" s="10">
        <v>15</v>
      </c>
      <c r="C16" s="17">
        <f>IF(C23&gt;0,-C23*$C$15,0)</f>
        <v>0</v>
      </c>
      <c r="D16" s="18">
        <f>IF(D23&gt;0,-D23*$C$15,0)</f>
        <v>0</v>
      </c>
      <c r="E16" s="18">
        <f>IF(E23&gt;0,-E23*$C$15,0)</f>
        <v>0</v>
      </c>
      <c r="F16" s="18">
        <f>IF(F23&gt;0,-F23*$C$15,0)</f>
        <v>0</v>
      </c>
    </row>
    <row r="17" ht="20.05" customHeight="1">
      <c r="B17" t="s" s="10">
        <v>16</v>
      </c>
      <c r="C17" s="17">
        <f>C9+C10+C13+C16</f>
        <v>-12.328</v>
      </c>
      <c r="D17" s="18">
        <f>D9+D10+D13+D16+D11</f>
        <v>-11.5255</v>
      </c>
      <c r="E17" s="18">
        <f>E9+E10+E13+E16+E11</f>
        <v>-9.438725</v>
      </c>
      <c r="F17" s="18">
        <f>F9+F10+F13+F16+F11</f>
        <v>-8.94712075</v>
      </c>
    </row>
    <row r="18" ht="20.05" customHeight="1">
      <c r="B18" t="s" s="10">
        <v>17</v>
      </c>
      <c r="C18" s="17">
        <f>'Balance Sheet '!C28</f>
        <v>35</v>
      </c>
      <c r="D18" s="18">
        <f>C20</f>
        <v>35</v>
      </c>
      <c r="E18" s="18">
        <f>D20</f>
        <v>36</v>
      </c>
      <c r="F18" s="18">
        <f>E20</f>
        <v>37</v>
      </c>
    </row>
    <row r="19" ht="20.05" customHeight="1">
      <c r="B19" t="s" s="10">
        <v>18</v>
      </c>
      <c r="C19" s="17">
        <f>C9+C10+C12</f>
        <v>0</v>
      </c>
      <c r="D19" s="18">
        <f>D9+D10+D12</f>
        <v>1</v>
      </c>
      <c r="E19" s="18">
        <f>E9+E10+E12</f>
        <v>1</v>
      </c>
      <c r="F19" s="18">
        <f>F9+F10+F12</f>
        <v>1</v>
      </c>
    </row>
    <row r="20" ht="20.05" customHeight="1">
      <c r="B20" t="s" s="10">
        <v>19</v>
      </c>
      <c r="C20" s="17">
        <f>C18+C19</f>
        <v>35</v>
      </c>
      <c r="D20" s="18">
        <f>D18+D19</f>
        <v>36</v>
      </c>
      <c r="E20" s="18">
        <f>E18+E19</f>
        <v>37</v>
      </c>
      <c r="F20" s="18">
        <f>F18+F19</f>
        <v>38</v>
      </c>
    </row>
    <row r="21" ht="20.05" customHeight="1">
      <c r="B21" t="s" s="20">
        <v>20</v>
      </c>
      <c r="C21" s="21"/>
      <c r="D21" s="22"/>
      <c r="E21" s="23"/>
      <c r="F21" s="24"/>
    </row>
    <row r="22" ht="20.05" customHeight="1">
      <c r="B22" t="s" s="10">
        <v>21</v>
      </c>
      <c r="C22" s="17">
        <f>-AVERAGE('Sales'!E28)</f>
        <v>-10.1</v>
      </c>
      <c r="D22" s="18">
        <f>C22</f>
        <v>-10.1</v>
      </c>
      <c r="E22" s="18">
        <f>D22</f>
        <v>-10.1</v>
      </c>
      <c r="F22" s="18">
        <f>E22</f>
        <v>-10.1</v>
      </c>
    </row>
    <row r="23" ht="20.05" customHeight="1">
      <c r="B23" t="s" s="10">
        <v>22</v>
      </c>
      <c r="C23" s="17">
        <f>C6+C8+C22</f>
        <v>4.3</v>
      </c>
      <c r="D23" s="18">
        <f>D6+D8+D22</f>
        <v>5.02</v>
      </c>
      <c r="E23" s="18">
        <f>E6+E8+E22</f>
        <v>6.0784</v>
      </c>
      <c r="F23" s="18">
        <f>F6+F8+F22</f>
        <v>5.593048</v>
      </c>
    </row>
    <row r="24" ht="20.05" customHeight="1">
      <c r="B24" t="s" s="20">
        <v>23</v>
      </c>
      <c r="C24" s="21"/>
      <c r="D24" s="22"/>
      <c r="E24" s="18"/>
      <c r="F24" s="18"/>
    </row>
    <row r="25" ht="20.05" customHeight="1">
      <c r="B25" t="s" s="10">
        <v>24</v>
      </c>
      <c r="C25" s="17">
        <f>'Balance Sheet '!E28+'Balance Sheet '!F28-C10</f>
        <v>1363.078</v>
      </c>
      <c r="D25" s="18">
        <f>C25-D10</f>
        <v>1368.156</v>
      </c>
      <c r="E25" s="18">
        <f>D25-E10</f>
        <v>1373.234</v>
      </c>
      <c r="F25" s="18">
        <f>E25-F10</f>
        <v>1378.312</v>
      </c>
    </row>
    <row r="26" ht="20.05" customHeight="1">
      <c r="B26" t="s" s="10">
        <v>25</v>
      </c>
      <c r="C26" s="17">
        <f>'Balance Sheet '!F28-C22</f>
        <v>570.1</v>
      </c>
      <c r="D26" s="18">
        <f>C26-D22</f>
        <v>580.2</v>
      </c>
      <c r="E26" s="18">
        <f>D26-E22</f>
        <v>590.3</v>
      </c>
      <c r="F26" s="18">
        <f>E26-F22</f>
        <v>600.4</v>
      </c>
    </row>
    <row r="27" ht="20.05" customHeight="1">
      <c r="B27" t="s" s="10">
        <v>26</v>
      </c>
      <c r="C27" s="17">
        <f>C25-C26</f>
        <v>792.978</v>
      </c>
      <c r="D27" s="18">
        <f>D25-D26</f>
        <v>787.956</v>
      </c>
      <c r="E27" s="18">
        <f>E25-E26</f>
        <v>782.934</v>
      </c>
      <c r="F27" s="18">
        <f>F25-F26</f>
        <v>777.912</v>
      </c>
    </row>
    <row r="28" ht="20.05" customHeight="1">
      <c r="B28" t="s" s="10">
        <v>12</v>
      </c>
      <c r="C28" s="17">
        <f>'Balance Sheet '!G28+C13</f>
        <v>411.35</v>
      </c>
      <c r="D28" s="18">
        <f>C28+D13</f>
        <v>390.7825</v>
      </c>
      <c r="E28" s="18">
        <f>D28+E13</f>
        <v>371.243375</v>
      </c>
      <c r="F28" s="18">
        <f>E28+F13</f>
        <v>352.68120625</v>
      </c>
    </row>
    <row r="29" ht="20.05" customHeight="1">
      <c r="B29" t="s" s="10">
        <v>13</v>
      </c>
      <c r="C29" s="17">
        <f>C14</f>
        <v>12.328</v>
      </c>
      <c r="D29" s="18">
        <f>C29+D14</f>
        <v>23.8535</v>
      </c>
      <c r="E29" s="18">
        <f>D29+E14</f>
        <v>33.292225</v>
      </c>
      <c r="F29" s="18">
        <f>E29+F14</f>
        <v>42.23934575</v>
      </c>
    </row>
    <row r="30" ht="20.05" customHeight="1">
      <c r="B30" t="s" s="10">
        <v>15</v>
      </c>
      <c r="C30" s="17">
        <f>'Balance Sheet '!H28+C23+C16</f>
        <v>404.3</v>
      </c>
      <c r="D30" s="18">
        <f>C30+D23+D16</f>
        <v>409.32</v>
      </c>
      <c r="E30" s="18">
        <f>D30+E23+E16</f>
        <v>415.3984</v>
      </c>
      <c r="F30" s="18">
        <f>E30+F23+F16</f>
        <v>420.991448</v>
      </c>
    </row>
    <row r="31" ht="20.05" customHeight="1">
      <c r="B31" t="s" s="10">
        <v>27</v>
      </c>
      <c r="C31" s="17">
        <f>C28+C29+C30-C20-C27</f>
        <v>0</v>
      </c>
      <c r="D31" s="18">
        <f>D28+D29+D30-D20-D27</f>
        <v>0</v>
      </c>
      <c r="E31" s="18">
        <f>E28+E29+E30-E20-E27</f>
        <v>0</v>
      </c>
      <c r="F31" s="18">
        <f>F28+F29+F30-F20-F27</f>
        <v>0</v>
      </c>
    </row>
    <row r="32" ht="20.05" customHeight="1">
      <c r="B32" t="s" s="10">
        <v>28</v>
      </c>
      <c r="C32" s="17">
        <f>C20-C28-C29</f>
        <v>-388.678</v>
      </c>
      <c r="D32" s="18">
        <f>D20-D28-D29</f>
        <v>-378.636</v>
      </c>
      <c r="E32" s="18">
        <f>E20-E28-E29</f>
        <v>-367.5356</v>
      </c>
      <c r="F32" s="18">
        <f>F20-F28-F29</f>
        <v>-356.920552</v>
      </c>
    </row>
    <row r="33" ht="20.05" customHeight="1">
      <c r="B33" t="s" s="20">
        <v>29</v>
      </c>
      <c r="C33" s="17"/>
      <c r="D33" s="18"/>
      <c r="E33" s="18"/>
      <c r="F33" s="18"/>
    </row>
    <row r="34" ht="20.05" customHeight="1">
      <c r="B34" t="s" s="10">
        <v>30</v>
      </c>
      <c r="C34" s="17"/>
      <c r="D34" s="18"/>
      <c r="E34" s="18"/>
      <c r="F34" s="18">
        <v>14</v>
      </c>
    </row>
    <row r="35" ht="20.05" customHeight="1">
      <c r="B35" t="s" s="10">
        <v>31</v>
      </c>
      <c r="C35" s="17">
        <f>'Cashflow '!N28-C12</f>
        <v>41.749</v>
      </c>
      <c r="D35" s="18">
        <f>C35-D12</f>
        <v>50.791</v>
      </c>
      <c r="E35" s="18">
        <f>D35-E12</f>
        <v>60.8914</v>
      </c>
      <c r="F35" s="18">
        <f>E35-F12</f>
        <v>70.50644800000001</v>
      </c>
    </row>
    <row r="36" ht="20.05" customHeight="1">
      <c r="B36" t="s" s="10">
        <v>32</v>
      </c>
      <c r="C36" s="17"/>
      <c r="D36" s="18"/>
      <c r="E36" s="18"/>
      <c r="F36" s="18">
        <v>3254580150272</v>
      </c>
    </row>
    <row r="37" ht="20.05" customHeight="1">
      <c r="B37" t="s" s="10">
        <v>32</v>
      </c>
      <c r="C37" s="17"/>
      <c r="D37" s="18"/>
      <c r="E37" s="18"/>
      <c r="F37" s="18">
        <f>(F36/1000000000)/F34</f>
        <v>232.470010733714</v>
      </c>
    </row>
    <row r="38" ht="20.05" customHeight="1">
      <c r="B38" t="s" s="10">
        <v>33</v>
      </c>
      <c r="C38" s="17"/>
      <c r="D38" s="18"/>
      <c r="E38" s="18"/>
      <c r="F38" s="25">
        <f>F37/(F20+F27)</f>
        <v>0.284920445751152</v>
      </c>
    </row>
    <row r="39" ht="20.05" customHeight="1">
      <c r="B39" t="s" s="10">
        <v>34</v>
      </c>
      <c r="C39" s="17"/>
      <c r="D39" s="18"/>
      <c r="E39" s="18"/>
      <c r="F39" s="16">
        <f>-(C16+D16+E16+F16)/F37</f>
        <v>0</v>
      </c>
    </row>
    <row r="40" ht="20.05" customHeight="1">
      <c r="B40" t="s" s="10">
        <v>3</v>
      </c>
      <c r="C40" s="17"/>
      <c r="D40" s="18"/>
      <c r="E40" s="18"/>
      <c r="F40" s="18">
        <f>SUM(C9:F11)</f>
        <v>37.079448</v>
      </c>
    </row>
    <row r="41" ht="20.05" customHeight="1">
      <c r="B41" t="s" s="10">
        <v>35</v>
      </c>
      <c r="C41" s="17"/>
      <c r="D41" s="18"/>
      <c r="E41" s="18"/>
      <c r="F41" s="18">
        <f>'Balance Sheet '!E28/F40</f>
        <v>21.5213559813512</v>
      </c>
    </row>
    <row r="42" ht="20.05" customHeight="1">
      <c r="B42" t="s" s="10">
        <v>29</v>
      </c>
      <c r="C42" s="17"/>
      <c r="D42" s="18"/>
      <c r="E42" s="18"/>
      <c r="F42" s="18">
        <f>F37/F40</f>
        <v>6.26951109773031</v>
      </c>
    </row>
    <row r="43" ht="20.05" customHeight="1">
      <c r="B43" t="s" s="10">
        <v>36</v>
      </c>
      <c r="C43" s="17"/>
      <c r="D43" s="18"/>
      <c r="E43" s="18"/>
      <c r="F43" s="18">
        <v>10</v>
      </c>
    </row>
    <row r="44" ht="20.05" customHeight="1">
      <c r="B44" t="s" s="10">
        <v>37</v>
      </c>
      <c r="C44" s="17"/>
      <c r="D44" s="18"/>
      <c r="E44" s="18"/>
      <c r="F44" s="18">
        <f>F40*F43</f>
        <v>370.79448</v>
      </c>
    </row>
    <row r="45" ht="20.05" customHeight="1">
      <c r="B45" t="s" s="10">
        <v>38</v>
      </c>
      <c r="C45" s="17"/>
      <c r="D45" s="18"/>
      <c r="E45" s="18"/>
      <c r="F45" s="18">
        <f>3757/F47</f>
        <v>30.5447154471545</v>
      </c>
    </row>
    <row r="46" ht="20.05" customHeight="1">
      <c r="B46" t="s" s="10">
        <v>39</v>
      </c>
      <c r="C46" s="17"/>
      <c r="D46" s="18"/>
      <c r="E46" s="18"/>
      <c r="F46" s="18">
        <f>(F44/F45)*F34</f>
        <v>169.951582262443</v>
      </c>
    </row>
    <row r="47" ht="20.05" customHeight="1">
      <c r="B47" t="s" s="10">
        <v>40</v>
      </c>
      <c r="C47" s="17"/>
      <c r="D47" s="18"/>
      <c r="E47" s="18"/>
      <c r="F47" s="18">
        <v>123</v>
      </c>
    </row>
    <row r="48" ht="20.05" customHeight="1">
      <c r="B48" t="s" s="10">
        <v>41</v>
      </c>
      <c r="C48" s="17"/>
      <c r="D48" s="18"/>
      <c r="E48" s="18"/>
      <c r="F48" s="16">
        <f>F46/F47-1</f>
        <v>0.381720180995472</v>
      </c>
    </row>
    <row r="49" ht="20.05" customHeight="1">
      <c r="B49" t="s" s="10">
        <v>42</v>
      </c>
      <c r="C49" s="17"/>
      <c r="D49" s="18"/>
      <c r="E49" s="18"/>
      <c r="F49" s="16">
        <f>'Sales'!C28/'Sales'!C24-1</f>
        <v>-0.674915635545557</v>
      </c>
    </row>
    <row r="50" ht="20.05" customHeight="1">
      <c r="B50" t="s" s="10">
        <v>43</v>
      </c>
      <c r="C50" s="17"/>
      <c r="D50" s="18"/>
      <c r="E50" s="18"/>
      <c r="F50" s="16">
        <f>'Sales'!F31/'Sales'!E31-1</f>
        <v>0.19673338395343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8438" style="26" customWidth="1"/>
    <col min="2" max="2" width="10.9609" style="26" customWidth="1"/>
    <col min="3" max="10" width="9.38281" style="26" customWidth="1"/>
    <col min="11" max="16384" width="16.3516" style="26" customWidth="1"/>
  </cols>
  <sheetData>
    <row r="1" ht="44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44</v>
      </c>
      <c r="D3" t="s" s="5">
        <v>36</v>
      </c>
      <c r="E3" t="s" s="5">
        <v>25</v>
      </c>
      <c r="F3" t="s" s="5">
        <v>45</v>
      </c>
      <c r="G3" t="s" s="5">
        <v>46</v>
      </c>
      <c r="H3" t="s" s="5">
        <v>47</v>
      </c>
      <c r="I3" t="s" s="5">
        <v>47</v>
      </c>
      <c r="J3" t="s" s="5">
        <v>36</v>
      </c>
    </row>
    <row r="4" ht="20.25" customHeight="1">
      <c r="B4" s="27">
        <v>2016</v>
      </c>
      <c r="C4" s="28">
        <v>64.614</v>
      </c>
      <c r="D4" s="29"/>
      <c r="E4" s="30">
        <f>6+7</f>
        <v>13</v>
      </c>
      <c r="F4" s="31">
        <v>8.65</v>
      </c>
      <c r="G4" s="9"/>
      <c r="H4" s="9">
        <f>(F4+E4-C4)/C4</f>
        <v>-0.66493329618968</v>
      </c>
      <c r="I4" s="32"/>
      <c r="J4" s="32"/>
    </row>
    <row r="5" ht="20.05" customHeight="1">
      <c r="B5" s="33"/>
      <c r="C5" s="34">
        <v>55.816</v>
      </c>
      <c r="D5" s="23"/>
      <c r="E5" s="35">
        <f>11+5+6-E4</f>
        <v>9</v>
      </c>
      <c r="F5" s="18">
        <f>17.06-F4</f>
        <v>8.41</v>
      </c>
      <c r="G5" s="12">
        <f>C5/C4-1</f>
        <v>-0.136162441576129</v>
      </c>
      <c r="H5" s="12">
        <f>(F5+E5-C5)/C5</f>
        <v>-0.688082270316755</v>
      </c>
      <c r="I5" s="16"/>
      <c r="J5" s="16"/>
    </row>
    <row r="6" ht="20.05" customHeight="1">
      <c r="B6" s="33"/>
      <c r="C6" s="34">
        <v>58.57</v>
      </c>
      <c r="D6" s="23"/>
      <c r="E6" s="35">
        <f>14+18-SUM(E4:E5)</f>
        <v>10</v>
      </c>
      <c r="F6" s="18">
        <f>24.387-SUM(F4:F5)</f>
        <v>7.327</v>
      </c>
      <c r="G6" s="12">
        <f>C6/C5-1</f>
        <v>0.0493406908413358</v>
      </c>
      <c r="H6" s="12">
        <f>(F6+E6-C6)/C6</f>
        <v>-0.704165955267202</v>
      </c>
      <c r="I6" s="16"/>
      <c r="J6" s="16"/>
    </row>
    <row r="7" ht="20.05" customHeight="1">
      <c r="B7" s="33"/>
      <c r="C7" s="34">
        <v>56.129</v>
      </c>
      <c r="D7" s="23"/>
      <c r="E7" s="35">
        <f>23+11+11-SUM(E4:E6)</f>
        <v>13</v>
      </c>
      <c r="F7" s="18">
        <f>22.22-SUM(F4:F6)</f>
        <v>-2.167</v>
      </c>
      <c r="G7" s="12">
        <f>C7/C6-1</f>
        <v>-0.0416766262591771</v>
      </c>
      <c r="H7" s="12">
        <f>(F7+E7-C7)/C7</f>
        <v>-0.806998164941474</v>
      </c>
      <c r="I7" s="16"/>
      <c r="J7" s="16"/>
    </row>
    <row r="8" ht="20.05" customHeight="1">
      <c r="B8" s="36">
        <v>2017</v>
      </c>
      <c r="C8" s="34">
        <v>49.8</v>
      </c>
      <c r="D8" s="23"/>
      <c r="E8" s="35">
        <f t="shared" si="14" ref="E8:E12">6+5</f>
        <v>11</v>
      </c>
      <c r="F8" s="18">
        <v>1.9</v>
      </c>
      <c r="G8" s="12">
        <f>C8/C7-1</f>
        <v>-0.112758110780523</v>
      </c>
      <c r="H8" s="12">
        <f>(F8+E8-C8)/C8</f>
        <v>-0.740963855421687</v>
      </c>
      <c r="I8" s="16">
        <f>AVERAGE(H5:H8)</f>
        <v>-0.73505256148678</v>
      </c>
      <c r="J8" s="16"/>
    </row>
    <row r="9" ht="20.05" customHeight="1">
      <c r="B9" s="33"/>
      <c r="C9" s="34">
        <v>58</v>
      </c>
      <c r="D9" s="23"/>
      <c r="E9" s="35">
        <f>11+11-E8</f>
        <v>11</v>
      </c>
      <c r="F9" s="18">
        <f>8.68-F8</f>
        <v>6.78</v>
      </c>
      <c r="G9" s="12">
        <f>C9/C8-1</f>
        <v>0.164658634538153</v>
      </c>
      <c r="H9" s="12">
        <f>(F9+E9-C9)/C9</f>
        <v>-0.693448275862069</v>
      </c>
      <c r="I9" s="16">
        <f>AVERAGE(H6:H9)</f>
        <v>-0.736394062873108</v>
      </c>
      <c r="J9" s="16"/>
    </row>
    <row r="10" ht="20.05" customHeight="1">
      <c r="B10" s="33"/>
      <c r="C10" s="34">
        <v>56.2</v>
      </c>
      <c r="D10" s="23"/>
      <c r="E10" s="35">
        <f>18+13-SUM(E8:E9)</f>
        <v>9</v>
      </c>
      <c r="F10" s="18">
        <f>11.9-SUM(F8:F9)</f>
        <v>3.22</v>
      </c>
      <c r="G10" s="12">
        <f>C10/C9-1</f>
        <v>-0.0310344827586207</v>
      </c>
      <c r="H10" s="12">
        <f>(F10+E10-C10)/C10</f>
        <v>-0.782562277580071</v>
      </c>
      <c r="I10" s="16">
        <f>AVERAGE(H7:H10)</f>
        <v>-0.755993143451325</v>
      </c>
      <c r="J10" s="16"/>
    </row>
    <row r="11" ht="20.05" customHeight="1">
      <c r="B11" s="33"/>
      <c r="C11" s="34">
        <v>55.4</v>
      </c>
      <c r="D11" s="23"/>
      <c r="E11" s="35">
        <f>13+8+25-SUM(E8:E10)</f>
        <v>15</v>
      </c>
      <c r="F11" s="18">
        <f>15.9-SUM(F8:F10)</f>
        <v>4</v>
      </c>
      <c r="G11" s="12">
        <f>C11/C10-1</f>
        <v>-0.0142348754448399</v>
      </c>
      <c r="H11" s="12">
        <f>(F11+E11-C11)/C11</f>
        <v>-0.657039711191336</v>
      </c>
      <c r="I11" s="16">
        <f>AVERAGE(H8:H11)</f>
        <v>-0.718503530013791</v>
      </c>
      <c r="J11" s="16"/>
    </row>
    <row r="12" ht="20.05" customHeight="1">
      <c r="B12" s="36">
        <v>2018</v>
      </c>
      <c r="C12" s="34">
        <v>58.1</v>
      </c>
      <c r="D12" s="23"/>
      <c r="E12" s="35">
        <f t="shared" si="14"/>
        <v>11</v>
      </c>
      <c r="F12" s="18">
        <v>5.2</v>
      </c>
      <c r="G12" s="12">
        <f>C12/C11-1</f>
        <v>0.0487364620938628</v>
      </c>
      <c r="H12" s="12">
        <f>(F12+E12-C12)/C12</f>
        <v>-0.721170395869191</v>
      </c>
      <c r="I12" s="16">
        <f>AVERAGE(H9:H12)</f>
        <v>-0.713555165125667</v>
      </c>
      <c r="J12" s="16"/>
    </row>
    <row r="13" ht="20.05" customHeight="1">
      <c r="B13" s="33"/>
      <c r="C13" s="34">
        <v>43.7</v>
      </c>
      <c r="D13" s="23"/>
      <c r="E13" s="35">
        <f>12+9-E12</f>
        <v>10</v>
      </c>
      <c r="F13" s="18">
        <f>6.1-F12</f>
        <v>0.9</v>
      </c>
      <c r="G13" s="12">
        <f>C13/C12-1</f>
        <v>-0.247848537005164</v>
      </c>
      <c r="H13" s="12">
        <f>(F13+E13-C13)/C13</f>
        <v>-0.7505720823798629</v>
      </c>
      <c r="I13" s="16">
        <f>AVERAGE(H10:H13)</f>
        <v>-0.7278361167551149</v>
      </c>
      <c r="J13" s="16"/>
    </row>
    <row r="14" ht="20.05" customHeight="1">
      <c r="B14" s="33"/>
      <c r="C14" s="34">
        <v>52.1</v>
      </c>
      <c r="D14" s="23"/>
      <c r="E14" s="35">
        <f>7+8+18-SUM(E12:E13)</f>
        <v>12</v>
      </c>
      <c r="F14" s="18">
        <f>8.6-SUM(F12:F13)</f>
        <v>2.5</v>
      </c>
      <c r="G14" s="12">
        <f>C14/C13-1</f>
        <v>0.192219679633867</v>
      </c>
      <c r="H14" s="12">
        <f>(F14+E14-C14)/C14</f>
        <v>-0.72168905950096</v>
      </c>
      <c r="I14" s="16">
        <f>AVERAGE(H11:H14)</f>
        <v>-0.712617812235338</v>
      </c>
      <c r="J14" s="16"/>
    </row>
    <row r="15" ht="20.05" customHeight="1">
      <c r="B15" s="33"/>
      <c r="C15" s="34">
        <v>68.7</v>
      </c>
      <c r="D15" s="23"/>
      <c r="E15" s="35">
        <f>25+13+10-SUM(E12:E14)</f>
        <v>15</v>
      </c>
      <c r="F15" s="18">
        <f>19.1-SUM(F12:F14)</f>
        <v>10.5</v>
      </c>
      <c r="G15" s="12">
        <f>C15/C14-1</f>
        <v>0.318618042226488</v>
      </c>
      <c r="H15" s="12">
        <f>(F15+E15-C15)/C15</f>
        <v>-0.62882096069869</v>
      </c>
      <c r="I15" s="16">
        <f>AVERAGE(H12:H15)</f>
        <v>-0.705563124612176</v>
      </c>
      <c r="J15" s="16"/>
    </row>
    <row r="16" ht="20.05" customHeight="1">
      <c r="B16" s="36">
        <v>2019</v>
      </c>
      <c r="C16" s="34">
        <v>64</v>
      </c>
      <c r="D16" s="23"/>
      <c r="E16" s="35">
        <f>7+3+7</f>
        <v>17</v>
      </c>
      <c r="F16" s="18">
        <v>5.8</v>
      </c>
      <c r="G16" s="12">
        <f>C16/C15-1</f>
        <v>-0.0684133915574964</v>
      </c>
      <c r="H16" s="12">
        <f>(F16+E16-C16)/C16</f>
        <v>-0.64375</v>
      </c>
      <c r="I16" s="16">
        <f>AVERAGE(H13:H16)</f>
        <v>-0.686208025644878</v>
      </c>
      <c r="J16" s="16"/>
    </row>
    <row r="17" ht="20.05" customHeight="1">
      <c r="B17" s="33"/>
      <c r="C17" s="34">
        <v>57.8</v>
      </c>
      <c r="D17" s="23"/>
      <c r="E17" s="35">
        <f>7+8+14-E16</f>
        <v>12</v>
      </c>
      <c r="F17" s="18">
        <f>6.7-F16</f>
        <v>0.9</v>
      </c>
      <c r="G17" s="12">
        <f>C17/C16-1</f>
        <v>-0.096875</v>
      </c>
      <c r="H17" s="12">
        <f>(F17+E17-C17)/C17</f>
        <v>-0.77681660899654</v>
      </c>
      <c r="I17" s="16">
        <f>AVERAGE(H14:H17)</f>
        <v>-0.692769157299048</v>
      </c>
      <c r="J17" s="16"/>
    </row>
    <row r="18" ht="20.05" customHeight="1">
      <c r="B18" s="33"/>
      <c r="C18" s="34">
        <v>66.90000000000001</v>
      </c>
      <c r="D18" s="23"/>
      <c r="E18" s="35">
        <f>10+12+22-SUM(E16:E17)</f>
        <v>15</v>
      </c>
      <c r="F18" s="18">
        <f>12.5-SUM(F16:F17)</f>
        <v>5.8</v>
      </c>
      <c r="G18" s="12">
        <f>C18/C17-1</f>
        <v>0.157439446366782</v>
      </c>
      <c r="H18" s="12">
        <f>(F18+E18-C18)/C18</f>
        <v>-0.689088191330344</v>
      </c>
      <c r="I18" s="16">
        <f>AVERAGE(H15:H18)</f>
        <v>-0.684618940256394</v>
      </c>
      <c r="J18" s="16"/>
    </row>
    <row r="19" ht="20.05" customHeight="1">
      <c r="B19" s="33"/>
      <c r="C19" s="34">
        <v>56.2</v>
      </c>
      <c r="D19" s="23"/>
      <c r="E19" s="35">
        <f>31+28-SUM(E16:E18)</f>
        <v>15</v>
      </c>
      <c r="F19" s="18">
        <f>4.2-SUM(F16:F18)</f>
        <v>-8.300000000000001</v>
      </c>
      <c r="G19" s="12">
        <f>C19/C18-1</f>
        <v>-0.159940209267564</v>
      </c>
      <c r="H19" s="12">
        <f>(F19+E19-C19)/C19</f>
        <v>-0.880782918149466</v>
      </c>
      <c r="I19" s="16">
        <f>AVERAGE(H16:H19)</f>
        <v>-0.7476094296190881</v>
      </c>
      <c r="J19" s="16"/>
    </row>
    <row r="20" ht="20.05" customHeight="1">
      <c r="B20" s="36">
        <v>2020</v>
      </c>
      <c r="C20" s="34">
        <v>61.8</v>
      </c>
      <c r="D20" s="23"/>
      <c r="E20" s="35">
        <f>8+3+5</f>
        <v>16</v>
      </c>
      <c r="F20" s="18">
        <v>2.2</v>
      </c>
      <c r="G20" s="12">
        <f>C20/C19-1</f>
        <v>0.099644128113879</v>
      </c>
      <c r="H20" s="12">
        <f>(F20+E20-C20)/C20</f>
        <v>-0.705501618122977</v>
      </c>
      <c r="I20" s="16">
        <f>AVERAGE(H17:H20)</f>
        <v>-0.7630473341498319</v>
      </c>
      <c r="J20" s="16"/>
    </row>
    <row r="21" ht="20.05" customHeight="1">
      <c r="B21" s="33"/>
      <c r="C21" s="34">
        <v>56.8</v>
      </c>
      <c r="D21" s="24"/>
      <c r="E21" s="35">
        <f>15+5+6-E20</f>
        <v>10</v>
      </c>
      <c r="F21" s="18">
        <f>1.1-F20</f>
        <v>-1.1</v>
      </c>
      <c r="G21" s="12">
        <f>C21/C20-1</f>
        <v>-0.0809061488673139</v>
      </c>
      <c r="H21" s="12">
        <f>(F21+E21-C21)/C21</f>
        <v>-0.84330985915493</v>
      </c>
      <c r="I21" s="16">
        <f>AVERAGE(H18:H21)</f>
        <v>-0.779670646689429</v>
      </c>
      <c r="J21" s="16"/>
    </row>
    <row r="22" ht="20.05" customHeight="1">
      <c r="B22" s="33"/>
      <c r="C22" s="34">
        <v>66.8</v>
      </c>
      <c r="D22" s="35">
        <v>57.936</v>
      </c>
      <c r="E22" s="35">
        <f>7+1+22+9-SUM(E20:E21)</f>
        <v>13</v>
      </c>
      <c r="F22" s="18">
        <f>1.8-SUM(F20:F21)</f>
        <v>0.7</v>
      </c>
      <c r="G22" s="12">
        <f>C22/C21-1</f>
        <v>0.176056338028169</v>
      </c>
      <c r="H22" s="12">
        <f>(F22+E22-C22)/C22</f>
        <v>-0.794910179640719</v>
      </c>
      <c r="I22" s="16">
        <f>AVERAGE(H19:H22)</f>
        <v>-0.806126143767023</v>
      </c>
      <c r="J22" s="16"/>
    </row>
    <row r="23" ht="20.05" customHeight="1">
      <c r="B23" s="33"/>
      <c r="C23" s="34">
        <v>62.3</v>
      </c>
      <c r="D23" s="35">
        <v>72.812</v>
      </c>
      <c r="E23" s="35">
        <f>32.5+23.9-SUM(E20:E22)</f>
        <v>17.4</v>
      </c>
      <c r="F23" s="18">
        <f>1.9-SUM(F20:F22)</f>
        <v>0.1</v>
      </c>
      <c r="G23" s="12">
        <f>C23/C22-1</f>
        <v>-0.06736526946107781</v>
      </c>
      <c r="H23" s="12">
        <f>(F23+E23-C23)/C23</f>
        <v>-0.719101123595506</v>
      </c>
      <c r="I23" s="16">
        <f>AVERAGE(H20:H23)</f>
        <v>-0.765705695128533</v>
      </c>
      <c r="J23" s="16"/>
    </row>
    <row r="24" ht="20.05" customHeight="1">
      <c r="B24" s="36">
        <v>2021</v>
      </c>
      <c r="C24" s="34">
        <v>88.90000000000001</v>
      </c>
      <c r="D24" s="35">
        <v>74.99636</v>
      </c>
      <c r="E24" s="18">
        <f>8.3+10.7+0.5</f>
        <v>19.5</v>
      </c>
      <c r="F24" s="18">
        <v>3.2</v>
      </c>
      <c r="G24" s="12">
        <f>C24/C23-1</f>
        <v>0.426966292134831</v>
      </c>
      <c r="H24" s="12">
        <f>(F24+E24-C24)/C24</f>
        <v>-0.744656917885264</v>
      </c>
      <c r="I24" s="16">
        <f>AVERAGE(H21:H24)</f>
        <v>-0.775494520069105</v>
      </c>
      <c r="J24" s="16"/>
    </row>
    <row r="25" ht="20.05" customHeight="1">
      <c r="B25" s="33"/>
      <c r="C25" s="34">
        <f>149.1-C24</f>
        <v>60.2</v>
      </c>
      <c r="D25" s="22">
        <v>86.233</v>
      </c>
      <c r="E25" s="35">
        <f>15.4+14.8-E24</f>
        <v>10.7</v>
      </c>
      <c r="F25" s="18">
        <f>3.4-F24</f>
        <v>0.2</v>
      </c>
      <c r="G25" s="12">
        <f>C25/C24-1</f>
        <v>-0.322834645669291</v>
      </c>
      <c r="H25" s="12">
        <f>(F25+E25-C25)/C25</f>
        <v>-0.8189368770764121</v>
      </c>
      <c r="I25" s="16">
        <f>AVERAGE(H22:H25)</f>
        <v>-0.769401274549475</v>
      </c>
      <c r="J25" s="16"/>
    </row>
    <row r="26" ht="20.05" customHeight="1">
      <c r="B26" s="33"/>
      <c r="C26" s="34">
        <f>191.8-SUM(C24:C25)</f>
        <v>42.7</v>
      </c>
      <c r="D26" s="22">
        <v>69.83199999999999</v>
      </c>
      <c r="E26" s="35">
        <f>21+1.7+13.4+8.3-SUM(E24:E25)</f>
        <v>14.2</v>
      </c>
      <c r="F26" s="18">
        <f>-5.1-SUM(F24:F25)</f>
        <v>-8.5</v>
      </c>
      <c r="G26" s="12">
        <f>C26/C25-1</f>
        <v>-0.290697674418605</v>
      </c>
      <c r="H26" s="12">
        <f>(F26+E26-C26)/C26</f>
        <v>-0.866510538641686</v>
      </c>
      <c r="I26" s="16">
        <f>AVERAGE(H23:H26)</f>
        <v>-0.787301364299717</v>
      </c>
      <c r="J26" s="16"/>
    </row>
    <row r="27" ht="20.05" customHeight="1">
      <c r="B27" s="33"/>
      <c r="C27" s="34">
        <f>237.1-SUM(C24:C26)</f>
        <v>45.3</v>
      </c>
      <c r="D27" s="22">
        <v>55.51</v>
      </c>
      <c r="E27" s="35">
        <f>29.6+3.3+28-SUM(E24:E26)</f>
        <v>16.5</v>
      </c>
      <c r="F27" s="18">
        <f>8.3-SUM(F24:F26)</f>
        <v>13.4</v>
      </c>
      <c r="G27" s="12">
        <f>C27/C26-1</f>
        <v>0.0608899297423888</v>
      </c>
      <c r="H27" s="12">
        <f>(F27+E27-C27)/C27</f>
        <v>-0.339955849889625</v>
      </c>
      <c r="I27" s="16">
        <f>AVERAGE(H24:H27)</f>
        <v>-0.692515045873247</v>
      </c>
      <c r="J27" s="16"/>
    </row>
    <row r="28" ht="20.05" customHeight="1">
      <c r="B28" s="36">
        <v>2022</v>
      </c>
      <c r="C28" s="34">
        <v>28.9</v>
      </c>
      <c r="D28" s="22">
        <v>55.51</v>
      </c>
      <c r="E28" s="35">
        <f>1.3+6+0.6+2.2</f>
        <v>10.1</v>
      </c>
      <c r="F28" s="18">
        <v>1.9</v>
      </c>
      <c r="G28" s="12">
        <f>C28/C27-1</f>
        <v>-0.362030905077263</v>
      </c>
      <c r="H28" s="12">
        <f>(F28+E28-C28)/C28</f>
        <v>-0.5847750865051899</v>
      </c>
      <c r="I28" s="16">
        <f>AVERAGE(H25:H28)</f>
        <v>-0.652544588028228</v>
      </c>
      <c r="J28" s="16">
        <v>-0.794910179640719</v>
      </c>
    </row>
    <row r="29" ht="20.05" customHeight="1">
      <c r="B29" s="33"/>
      <c r="C29" s="34"/>
      <c r="D29" s="22">
        <f>'Model'!C6</f>
        <v>34.68</v>
      </c>
      <c r="E29" s="35"/>
      <c r="F29" s="18"/>
      <c r="G29" s="24"/>
      <c r="H29" s="24"/>
      <c r="I29" s="24"/>
      <c r="J29" s="16">
        <f>'Model'!C7</f>
        <v>-0.5847750865051899</v>
      </c>
    </row>
    <row r="30" ht="20.05" customHeight="1">
      <c r="B30" s="33"/>
      <c r="C30" s="34"/>
      <c r="D30" s="22">
        <f>'Model'!D6</f>
        <v>36.414</v>
      </c>
      <c r="E30" s="35"/>
      <c r="F30" s="18"/>
      <c r="G30" s="24"/>
      <c r="H30" s="24"/>
      <c r="I30" s="37"/>
      <c r="J30" s="37"/>
    </row>
    <row r="31" ht="20.05" customHeight="1">
      <c r="B31" s="33"/>
      <c r="C31" s="34"/>
      <c r="D31" s="35">
        <f>'Model'!E6</f>
        <v>38.96298</v>
      </c>
      <c r="E31" s="35">
        <f>SUM(C22:C28)</f>
        <v>395.1</v>
      </c>
      <c r="F31" s="35">
        <f>SUM(D22:D28)</f>
        <v>472.82936</v>
      </c>
      <c r="G31" s="24"/>
      <c r="H31" s="24"/>
      <c r="I31" s="37"/>
      <c r="J31" s="37"/>
    </row>
    <row r="32" ht="20.05" customHeight="1">
      <c r="B32" s="36">
        <v>2023</v>
      </c>
      <c r="C32" s="34"/>
      <c r="D32" s="35">
        <f>'Model'!F6</f>
        <v>37.7940906</v>
      </c>
      <c r="E32" s="35"/>
      <c r="F32" s="18"/>
      <c r="G32" s="24"/>
      <c r="H32" s="24"/>
      <c r="I32" s="37"/>
      <c r="J32" s="3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9062" style="38" customWidth="1"/>
    <col min="2" max="2" width="9.09375" style="38" customWidth="1"/>
    <col min="3" max="3" width="9.34375" style="38" customWidth="1"/>
    <col min="4" max="4" width="11.6172" style="38" customWidth="1"/>
    <col min="5" max="5" width="10.6016" style="38" customWidth="1"/>
    <col min="6" max="6" width="11.6172" style="38" customWidth="1"/>
    <col min="7" max="16" width="9.34375" style="38" customWidth="1"/>
    <col min="17" max="16384" width="16.3516" style="38" customWidth="1"/>
  </cols>
  <sheetData>
    <row r="1" ht="24.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52</v>
      </c>
      <c r="G3" t="s" s="5">
        <v>53</v>
      </c>
      <c r="H3" t="s" s="5">
        <v>12</v>
      </c>
      <c r="I3" t="s" s="5">
        <v>54</v>
      </c>
      <c r="J3" t="s" s="5">
        <v>11</v>
      </c>
      <c r="K3" t="s" s="5">
        <v>55</v>
      </c>
      <c r="L3" t="s" s="5">
        <v>3</v>
      </c>
      <c r="M3" t="s" s="5">
        <v>36</v>
      </c>
      <c r="N3" t="s" s="5">
        <v>56</v>
      </c>
      <c r="O3" t="s" s="5">
        <v>36</v>
      </c>
      <c r="P3" s="39"/>
    </row>
    <row r="4" ht="20.25" customHeight="1">
      <c r="B4" s="27">
        <v>2016</v>
      </c>
      <c r="C4" s="40">
        <v>59</v>
      </c>
      <c r="D4" s="31">
        <v>10.48</v>
      </c>
      <c r="E4" s="31">
        <v>-2.37</v>
      </c>
      <c r="F4" s="31">
        <v>-4.7</v>
      </c>
      <c r="G4" s="29">
        <v>-0.85</v>
      </c>
      <c r="H4" s="31"/>
      <c r="I4" s="31"/>
      <c r="J4" s="31">
        <v>-0.26</v>
      </c>
      <c r="K4" s="29">
        <f>D4+E4+F4+G4</f>
        <v>2.56</v>
      </c>
      <c r="L4" s="41"/>
      <c r="M4" s="31"/>
      <c r="N4" s="31">
        <f>-(J4-G4-F4)</f>
        <v>-5.29</v>
      </c>
      <c r="O4" s="31"/>
      <c r="P4" s="31">
        <v>1</v>
      </c>
    </row>
    <row r="5" ht="20.05" customHeight="1">
      <c r="B5" s="33"/>
      <c r="C5" s="17">
        <f>117.89-C4</f>
        <v>58.89</v>
      </c>
      <c r="D5" s="18">
        <f>31.287-D4</f>
        <v>20.807</v>
      </c>
      <c r="E5" s="18">
        <f>-9.14-E4</f>
        <v>-6.77</v>
      </c>
      <c r="F5" s="18">
        <v>-5.1</v>
      </c>
      <c r="G5" s="23">
        <v>-6.32</v>
      </c>
      <c r="H5" s="18"/>
      <c r="I5" s="18"/>
      <c r="J5" s="18">
        <f>-8.7-J4</f>
        <v>-8.44</v>
      </c>
      <c r="K5" s="23">
        <f>D5+E5+F5+G5</f>
        <v>2.617</v>
      </c>
      <c r="L5" s="22"/>
      <c r="M5" s="18"/>
      <c r="N5" s="18">
        <f>-(J5-G5-F5)+N4</f>
        <v>-8.27</v>
      </c>
      <c r="O5" s="18"/>
      <c r="P5" s="18">
        <f>1+P4</f>
        <v>2</v>
      </c>
    </row>
    <row r="6" ht="20.05" customHeight="1">
      <c r="B6" s="33"/>
      <c r="C6" s="17">
        <f>174.2-SUM(C4:C5)</f>
        <v>56.31</v>
      </c>
      <c r="D6" s="18">
        <f>63.95-SUM(D4:D5)</f>
        <v>32.663</v>
      </c>
      <c r="E6" s="18">
        <f>-16.25-SUM(E4:E5)</f>
        <v>-7.11</v>
      </c>
      <c r="F6" s="18">
        <v>-8.4</v>
      </c>
      <c r="G6" s="23">
        <v>-6.73</v>
      </c>
      <c r="H6" s="18"/>
      <c r="I6" s="18"/>
      <c r="J6" s="18">
        <f>-37.22-SUM(J4:J5)</f>
        <v>-28.52</v>
      </c>
      <c r="K6" s="23">
        <f>D6+E6+F6+G6</f>
        <v>10.423</v>
      </c>
      <c r="L6" s="22"/>
      <c r="M6" s="18"/>
      <c r="N6" s="18">
        <f>-(J6-G6-F6)+N5</f>
        <v>5.12</v>
      </c>
      <c r="O6" s="18"/>
      <c r="P6" s="18">
        <f>1+P5</f>
        <v>3</v>
      </c>
    </row>
    <row r="7" ht="20.05" customHeight="1">
      <c r="B7" s="33"/>
      <c r="C7" s="17">
        <f>232.73-SUM(C4:C6)</f>
        <v>58.53</v>
      </c>
      <c r="D7" s="18">
        <f>92.212-SUM(D4:D6)</f>
        <v>28.262</v>
      </c>
      <c r="E7" s="18">
        <f>-42.146-SUM(E4:E6)</f>
        <v>-25.896</v>
      </c>
      <c r="F7" s="18">
        <v>-5.3</v>
      </c>
      <c r="G7" s="23">
        <v>0.89</v>
      </c>
      <c r="H7" s="18"/>
      <c r="I7" s="18"/>
      <c r="J7" s="18">
        <f>-43.189-SUM(J4:J6)</f>
        <v>-5.969</v>
      </c>
      <c r="K7" s="23">
        <f>D7+E7+F7+G7</f>
        <v>-2.044</v>
      </c>
      <c r="L7" s="22"/>
      <c r="M7" s="18"/>
      <c r="N7" s="18">
        <f>-(J7-G7-F7)+N6</f>
        <v>6.679</v>
      </c>
      <c r="O7" s="18"/>
      <c r="P7" s="18">
        <f>1+P6</f>
        <v>4</v>
      </c>
    </row>
    <row r="8" ht="20.05" customHeight="1">
      <c r="B8" s="36">
        <v>2017</v>
      </c>
      <c r="C8" s="17">
        <v>50.82</v>
      </c>
      <c r="D8" s="18">
        <v>8.67</v>
      </c>
      <c r="E8" s="18">
        <f>-12.79</f>
        <v>-12.79</v>
      </c>
      <c r="F8" s="18">
        <v>-6.5</v>
      </c>
      <c r="G8" s="23">
        <v>-3.37</v>
      </c>
      <c r="H8" s="18"/>
      <c r="I8" s="18"/>
      <c r="J8" s="18">
        <v>-1.47</v>
      </c>
      <c r="K8" s="23">
        <f>D8+E8+F8+G8</f>
        <v>-13.99</v>
      </c>
      <c r="L8" s="23">
        <f>AVERAGE(K5:K8)</f>
        <v>-0.7485000000000001</v>
      </c>
      <c r="M8" s="18"/>
      <c r="N8" s="18">
        <f>-(J8-G8-F8)+N7</f>
        <v>-1.721</v>
      </c>
      <c r="O8" s="18"/>
      <c r="P8" s="18">
        <f>1+P7</f>
        <v>5</v>
      </c>
    </row>
    <row r="9" ht="20.05" customHeight="1">
      <c r="B9" s="33"/>
      <c r="C9" s="17">
        <f>102.299-C8</f>
        <v>51.479</v>
      </c>
      <c r="D9" s="18">
        <f>7.9-D8</f>
        <v>-0.77</v>
      </c>
      <c r="E9" s="18">
        <f>-29-E8</f>
        <v>-16.21</v>
      </c>
      <c r="F9" s="18">
        <v>-6.8</v>
      </c>
      <c r="G9" s="23">
        <v>1.4</v>
      </c>
      <c r="H9" s="18"/>
      <c r="I9" s="18"/>
      <c r="J9" s="18">
        <f>25.5-J8</f>
        <v>26.97</v>
      </c>
      <c r="K9" s="23">
        <f>D9+E9+F9+G9</f>
        <v>-22.38</v>
      </c>
      <c r="L9" s="23">
        <f>AVERAGE(K6:K9)</f>
        <v>-6.99775</v>
      </c>
      <c r="M9" s="18"/>
      <c r="N9" s="18">
        <f>-(J9-G9-F9)+N8</f>
        <v>-34.091</v>
      </c>
      <c r="O9" s="18"/>
      <c r="P9" s="18">
        <f>1+P8</f>
        <v>6</v>
      </c>
    </row>
    <row r="10" ht="20.05" customHeight="1">
      <c r="B10" s="33"/>
      <c r="C10" s="17">
        <f>163.134-SUM(C8:C9)</f>
        <v>60.835</v>
      </c>
      <c r="D10" s="18">
        <f>35.444-SUM(D8:D9)</f>
        <v>27.544</v>
      </c>
      <c r="E10" s="18">
        <f>-64.543-SUM(E8:E9)</f>
        <v>-35.543</v>
      </c>
      <c r="F10" s="18">
        <v>-6.4</v>
      </c>
      <c r="G10" s="23">
        <v>-2.15</v>
      </c>
      <c r="H10" s="18"/>
      <c r="I10" s="18"/>
      <c r="J10" s="18">
        <f>30.614-SUM(J8:J9)</f>
        <v>5.114</v>
      </c>
      <c r="K10" s="23">
        <f>D10+E10+F10+G10</f>
        <v>-16.549</v>
      </c>
      <c r="L10" s="23">
        <f>AVERAGE(K7:K10)</f>
        <v>-13.74075</v>
      </c>
      <c r="M10" s="18"/>
      <c r="N10" s="18">
        <f>-(J10-G10-F10)+N9</f>
        <v>-47.755</v>
      </c>
      <c r="O10" s="18"/>
      <c r="P10" s="18">
        <f>1+P9</f>
        <v>7</v>
      </c>
    </row>
    <row r="11" ht="20.05" customHeight="1">
      <c r="B11" s="33"/>
      <c r="C11" s="17">
        <f>220.35-SUM(C8:C10)</f>
        <v>57.216</v>
      </c>
      <c r="D11" s="18">
        <f>48.492-SUM(D8:D10)</f>
        <v>13.048</v>
      </c>
      <c r="E11" s="18">
        <f>-72.687-SUM(E8:E10)</f>
        <v>-8.144</v>
      </c>
      <c r="F11" s="18">
        <v>-8.300000000000001</v>
      </c>
      <c r="G11" s="23">
        <v>-8.69</v>
      </c>
      <c r="H11" s="18"/>
      <c r="I11" s="18"/>
      <c r="J11" s="18">
        <f>42.725-SUM(J8:J10)</f>
        <v>12.111</v>
      </c>
      <c r="K11" s="23">
        <f>D11+E11+F11+G11</f>
        <v>-12.086</v>
      </c>
      <c r="L11" s="23">
        <f>AVERAGE(K8:K11)</f>
        <v>-16.25125</v>
      </c>
      <c r="M11" s="18"/>
      <c r="N11" s="18">
        <f>-(J11-G11-F11)+N10</f>
        <v>-76.85599999999999</v>
      </c>
      <c r="O11" s="18"/>
      <c r="P11" s="18">
        <f>1+P10</f>
        <v>8</v>
      </c>
    </row>
    <row r="12" ht="20.05" customHeight="1">
      <c r="B12" s="36">
        <v>2018</v>
      </c>
      <c r="C12" s="17">
        <v>58.224</v>
      </c>
      <c r="D12" s="18">
        <v>27.44</v>
      </c>
      <c r="E12" s="18">
        <v>-37.34</v>
      </c>
      <c r="F12" s="18">
        <v>-6.5</v>
      </c>
      <c r="G12" s="23">
        <v>-2.41</v>
      </c>
      <c r="H12" s="18"/>
      <c r="I12" s="18"/>
      <c r="J12" s="18">
        <v>0.265</v>
      </c>
      <c r="K12" s="23">
        <f>D12+E12+F12+G12</f>
        <v>-18.81</v>
      </c>
      <c r="L12" s="23">
        <f>AVERAGE(K9:K12)</f>
        <v>-17.45625</v>
      </c>
      <c r="M12" s="18"/>
      <c r="N12" s="18">
        <f>-(J12-G12-F12)+N11</f>
        <v>-86.03100000000001</v>
      </c>
      <c r="O12" s="18"/>
      <c r="P12" s="18">
        <f>1+P11</f>
        <v>9</v>
      </c>
    </row>
    <row r="13" ht="20.05" customHeight="1">
      <c r="B13" s="33"/>
      <c r="C13" s="17">
        <f>103.22-C12</f>
        <v>44.996</v>
      </c>
      <c r="D13" s="18">
        <f>50.7-D12</f>
        <v>23.26</v>
      </c>
      <c r="E13" s="18">
        <f>-57-E12</f>
        <v>-19.66</v>
      </c>
      <c r="F13" s="18">
        <v>-11</v>
      </c>
      <c r="G13" s="23">
        <v>-1.79</v>
      </c>
      <c r="H13" s="18"/>
      <c r="I13" s="18"/>
      <c r="J13" s="18">
        <f>-23.4-J12</f>
        <v>-23.665</v>
      </c>
      <c r="K13" s="23">
        <f>D13+E13+F13+G13</f>
        <v>-9.19</v>
      </c>
      <c r="L13" s="23">
        <f>AVERAGE(K10:K13)</f>
        <v>-14.15875</v>
      </c>
      <c r="M13" s="18"/>
      <c r="N13" s="18">
        <f>-(J13-G13-F13)+N12</f>
        <v>-75.15600000000001</v>
      </c>
      <c r="O13" s="18"/>
      <c r="P13" s="18">
        <f>1+P12</f>
        <v>10</v>
      </c>
    </row>
    <row r="14" ht="20.05" customHeight="1">
      <c r="B14" s="33"/>
      <c r="C14" s="17">
        <f>155.354-SUM(C12:C13)</f>
        <v>52.134</v>
      </c>
      <c r="D14" s="18">
        <f>91.058-SUM(D12:D13)</f>
        <v>40.358</v>
      </c>
      <c r="E14" s="18">
        <f>-76.246-SUM(E12:E13)</f>
        <v>-19.246</v>
      </c>
      <c r="F14" s="18">
        <v>-8.6</v>
      </c>
      <c r="G14" s="23">
        <v>-0.09</v>
      </c>
      <c r="H14" s="18"/>
      <c r="I14" s="18"/>
      <c r="J14" s="18">
        <f>-41.428-SUM(J12:J13)</f>
        <v>-18.028</v>
      </c>
      <c r="K14" s="23">
        <f>D14+E14+F14+G14</f>
        <v>12.422</v>
      </c>
      <c r="L14" s="23">
        <f>AVERAGE(K11:K14)</f>
        <v>-6.916</v>
      </c>
      <c r="M14" s="18"/>
      <c r="N14" s="18">
        <f>-(J14-G14-F14)+N13</f>
        <v>-65.818</v>
      </c>
      <c r="O14" s="18"/>
      <c r="P14" s="18">
        <f>1+P13</f>
        <v>11</v>
      </c>
    </row>
    <row r="15" ht="20.05" customHeight="1">
      <c r="B15" s="33"/>
      <c r="C15" s="17">
        <f>224.05-SUM(C12:C14)</f>
        <v>68.696</v>
      </c>
      <c r="D15" s="18">
        <f>110.641-SUM(D12:D14)</f>
        <v>19.583</v>
      </c>
      <c r="E15" s="18">
        <f>-68.887-SUM(E12:E14)</f>
        <v>7.359</v>
      </c>
      <c r="F15" s="18">
        <v>-8.300000000000001</v>
      </c>
      <c r="G15" s="23">
        <v>-2.69</v>
      </c>
      <c r="H15" s="18"/>
      <c r="I15" s="18"/>
      <c r="J15" s="18">
        <f>-58.463-SUM(J12:J14)</f>
        <v>-17.035</v>
      </c>
      <c r="K15" s="23">
        <f>D15+E15+F15+G15</f>
        <v>15.952</v>
      </c>
      <c r="L15" s="23">
        <f>AVERAGE(K12:K15)</f>
        <v>0.0935</v>
      </c>
      <c r="M15" s="18"/>
      <c r="N15" s="18">
        <f>-(J15-G15-F15)+N14</f>
        <v>-59.773</v>
      </c>
      <c r="O15" s="18"/>
      <c r="P15" s="18">
        <f>1+P14</f>
        <v>12</v>
      </c>
    </row>
    <row r="16" ht="20.05" customHeight="1">
      <c r="B16" s="36">
        <v>2019</v>
      </c>
      <c r="C16" s="17">
        <v>62.774</v>
      </c>
      <c r="D16" s="18">
        <v>33.788</v>
      </c>
      <c r="E16" s="18">
        <v>-19.284</v>
      </c>
      <c r="F16" s="18">
        <v>-8.300000000000001</v>
      </c>
      <c r="G16" s="23">
        <v>-0.19</v>
      </c>
      <c r="H16" s="18"/>
      <c r="I16" s="18"/>
      <c r="J16" s="18">
        <v>-19.264</v>
      </c>
      <c r="K16" s="23">
        <f>D16+E16+F16+G16</f>
        <v>6.014</v>
      </c>
      <c r="L16" s="23">
        <f>AVERAGE(K13:K16)</f>
        <v>6.2995</v>
      </c>
      <c r="M16" s="18"/>
      <c r="N16" s="18">
        <f>-(J16-G16-F16)+N15</f>
        <v>-48.999</v>
      </c>
      <c r="O16" s="18"/>
      <c r="P16" s="18">
        <f>1+P15</f>
        <v>13</v>
      </c>
    </row>
    <row r="17" ht="20.05" customHeight="1">
      <c r="B17" s="33"/>
      <c r="C17" s="17">
        <f>121.8-C16</f>
        <v>59.026</v>
      </c>
      <c r="D17" s="18">
        <f>33.884-D16</f>
        <v>0.096</v>
      </c>
      <c r="E17" s="18">
        <f>-32.663-E16</f>
        <v>-13.379</v>
      </c>
      <c r="F17" s="18">
        <v>-9.199999999999999</v>
      </c>
      <c r="G17" s="23">
        <v>0.06</v>
      </c>
      <c r="H17" s="18"/>
      <c r="I17" s="18"/>
      <c r="J17" s="18">
        <f>14.207-J16</f>
        <v>33.471</v>
      </c>
      <c r="K17" s="23">
        <f>D17+E17+F17+G17</f>
        <v>-22.423</v>
      </c>
      <c r="L17" s="23">
        <f>AVERAGE(K14:K17)</f>
        <v>2.99125</v>
      </c>
      <c r="M17" s="18"/>
      <c r="N17" s="18">
        <f>-(J17-G17-F17)+N16</f>
        <v>-91.61</v>
      </c>
      <c r="O17" s="18"/>
      <c r="P17" s="18">
        <f>1+P16</f>
        <v>14</v>
      </c>
    </row>
    <row r="18" ht="20.05" customHeight="1">
      <c r="B18" s="33"/>
      <c r="C18" s="17">
        <f>188.69-SUM(C16:C17)</f>
        <v>66.89</v>
      </c>
      <c r="D18" s="18">
        <f>111.077-SUM(D16:D17)</f>
        <v>77.193</v>
      </c>
      <c r="E18" s="18">
        <f>-85.151-SUM(E16:E17)</f>
        <v>-52.488</v>
      </c>
      <c r="F18" s="18">
        <v>-11.7</v>
      </c>
      <c r="G18" s="23">
        <v>-3.94</v>
      </c>
      <c r="H18" s="18"/>
      <c r="I18" s="18"/>
      <c r="J18" s="18">
        <f>16.014-SUM(J16:J17)</f>
        <v>1.807</v>
      </c>
      <c r="K18" s="23">
        <f>D18+E18+F18+G18</f>
        <v>9.065</v>
      </c>
      <c r="L18" s="23">
        <f>AVERAGE(K15:K18)</f>
        <v>2.152</v>
      </c>
      <c r="M18" s="18"/>
      <c r="N18" s="18">
        <f>-(J18-G18-F18)+N17</f>
        <v>-109.057</v>
      </c>
      <c r="O18" s="18"/>
      <c r="P18" s="18">
        <f>1+P17</f>
        <v>15</v>
      </c>
    </row>
    <row r="19" ht="20.05" customHeight="1">
      <c r="B19" s="33"/>
      <c r="C19" s="17">
        <f>244.909-SUM(C16:C18)</f>
        <v>56.219</v>
      </c>
      <c r="D19" s="18">
        <f>45.458-SUM(D16:D18)</f>
        <v>-65.619</v>
      </c>
      <c r="E19" s="18">
        <f>-61.449-SUM(E16:E18)</f>
        <v>23.702</v>
      </c>
      <c r="F19" s="23">
        <v>-9.300000000000001</v>
      </c>
      <c r="G19" s="23">
        <v>-0.95</v>
      </c>
      <c r="H19" s="18"/>
      <c r="I19" s="18"/>
      <c r="J19" s="18">
        <f>7.68-SUM(J16:J18)</f>
        <v>-8.334</v>
      </c>
      <c r="K19" s="23">
        <f>D19+E19+F19+G19</f>
        <v>-52.167</v>
      </c>
      <c r="L19" s="23">
        <f>AVERAGE(K16:K19)</f>
        <v>-14.87775</v>
      </c>
      <c r="M19" s="18"/>
      <c r="N19" s="18">
        <f>-(J19-G19-F19)+N18</f>
        <v>-110.973</v>
      </c>
      <c r="O19" s="18"/>
      <c r="P19" s="18">
        <f>1+P18</f>
        <v>16</v>
      </c>
    </row>
    <row r="20" ht="20.05" customHeight="1">
      <c r="B20" s="36">
        <v>2020</v>
      </c>
      <c r="C20" s="17">
        <v>61.836</v>
      </c>
      <c r="D20" s="18">
        <v>25.173</v>
      </c>
      <c r="E20" s="18">
        <v>-5.078</v>
      </c>
      <c r="F20" s="18">
        <v>-9.5</v>
      </c>
      <c r="G20" s="23">
        <v>-0.43</v>
      </c>
      <c r="H20" s="18"/>
      <c r="I20" s="18"/>
      <c r="J20" s="18">
        <v>1.98</v>
      </c>
      <c r="K20" s="23">
        <f>D20+E20+F20+G20</f>
        <v>10.165</v>
      </c>
      <c r="L20" s="23">
        <f>AVERAGE(K17:K20)</f>
        <v>-13.84</v>
      </c>
      <c r="M20" s="18"/>
      <c r="N20" s="18">
        <f>-(J20-G20-F20)+N19</f>
        <v>-122.883</v>
      </c>
      <c r="O20" s="18"/>
      <c r="P20" s="18">
        <f>1+P19</f>
        <v>17</v>
      </c>
    </row>
    <row r="21" ht="20.05" customHeight="1">
      <c r="B21" s="33"/>
      <c r="C21" s="17">
        <f>118.6-C20</f>
        <v>56.764</v>
      </c>
      <c r="D21" s="18">
        <f>65.678-D20</f>
        <v>40.505</v>
      </c>
      <c r="E21" s="18">
        <f>-18.779-E20</f>
        <v>-13.701</v>
      </c>
      <c r="F21" s="18">
        <v>-8.4</v>
      </c>
      <c r="G21" s="23">
        <v>-1.4</v>
      </c>
      <c r="H21" s="18"/>
      <c r="I21" s="18"/>
      <c r="J21" s="18">
        <f>-48.34-J20</f>
        <v>-50.32</v>
      </c>
      <c r="K21" s="23">
        <f>D21+E21+F21+G21</f>
        <v>17.004</v>
      </c>
      <c r="L21" s="23">
        <f>AVERAGE(K18:K21)</f>
        <v>-3.98325</v>
      </c>
      <c r="M21" s="18"/>
      <c r="N21" s="18">
        <f>-(J21-G21-F21)+N20</f>
        <v>-82.363</v>
      </c>
      <c r="O21" s="18"/>
      <c r="P21" s="18">
        <f>1+P20</f>
        <v>18</v>
      </c>
    </row>
    <row r="22" ht="20.05" customHeight="1">
      <c r="B22" s="33"/>
      <c r="C22" s="17">
        <f>185.4-SUM(C20:C21)</f>
        <v>66.8</v>
      </c>
      <c r="D22" s="18">
        <f>109.4-SUM(D20:D21)</f>
        <v>43.722</v>
      </c>
      <c r="E22" s="18">
        <f>-34.6-SUM(E20:E21)</f>
        <v>-15.821</v>
      </c>
      <c r="F22" s="18">
        <f>-27-SUM(F20:F21)</f>
        <v>-9.1</v>
      </c>
      <c r="G22" s="23">
        <v>-2.33</v>
      </c>
      <c r="H22" s="18"/>
      <c r="I22" s="18"/>
      <c r="J22" s="18">
        <f>-48-SUM(J20:J21)</f>
        <v>0.34</v>
      </c>
      <c r="K22" s="23">
        <f>D22+E22+F22+G22</f>
        <v>16.471</v>
      </c>
      <c r="L22" s="23">
        <f>AVERAGE(K19:K22)</f>
        <v>-2.13175</v>
      </c>
      <c r="M22" s="18"/>
      <c r="N22" s="18">
        <f>-(J22-G22-F22)+N21</f>
        <v>-94.133</v>
      </c>
      <c r="O22" s="18"/>
      <c r="P22" s="18">
        <f>1+P21</f>
        <v>19</v>
      </c>
    </row>
    <row r="23" ht="20.05" customHeight="1">
      <c r="B23" s="33"/>
      <c r="C23" s="17">
        <f>247.7-SUM(C20:C22)</f>
        <v>62.3</v>
      </c>
      <c r="D23" s="18">
        <f>120.9-SUM(D20:D22)</f>
        <v>11.5</v>
      </c>
      <c r="E23" s="18">
        <f>-53.1-SUM(E20:E22)</f>
        <v>-18.5</v>
      </c>
      <c r="F23" s="18">
        <f>-35.1-SUM(F20:F22)</f>
        <v>-8.1</v>
      </c>
      <c r="G23" s="23">
        <f>-9.7-SUM(G20:G22)</f>
        <v>-5.54</v>
      </c>
      <c r="H23" s="18"/>
      <c r="I23" s="18"/>
      <c r="J23" s="18">
        <f>-66.8-SUM(J20:J22)</f>
        <v>-18.8</v>
      </c>
      <c r="K23" s="23">
        <f>D23+E23+F23+G23</f>
        <v>-20.64</v>
      </c>
      <c r="L23" s="23">
        <f>AVERAGE(K20:K23)</f>
        <v>5.75</v>
      </c>
      <c r="M23" s="18"/>
      <c r="N23" s="18">
        <f>-(J23-G23-F23)+N22</f>
        <v>-88.973</v>
      </c>
      <c r="O23" s="18"/>
      <c r="P23" s="18">
        <f>1+P22</f>
        <v>20</v>
      </c>
    </row>
    <row r="24" ht="20.05" customHeight="1">
      <c r="B24" s="36">
        <v>2021</v>
      </c>
      <c r="C24" s="17">
        <v>84.8</v>
      </c>
      <c r="D24" s="18">
        <v>42.7</v>
      </c>
      <c r="E24" s="18">
        <v>-19.7</v>
      </c>
      <c r="F24" s="18">
        <v>-7.8</v>
      </c>
      <c r="G24" s="18">
        <v>-2.2</v>
      </c>
      <c r="H24" s="18">
        <f>-27.304-G24-F24</f>
        <v>-17.304</v>
      </c>
      <c r="I24" s="18">
        <v>0</v>
      </c>
      <c r="J24" s="18">
        <v>-27.3</v>
      </c>
      <c r="K24" s="23">
        <f>D24+E24+F24+G24</f>
        <v>13</v>
      </c>
      <c r="L24" s="23">
        <f>AVERAGE(K21:K24)</f>
        <v>6.45875</v>
      </c>
      <c r="M24" s="18"/>
      <c r="N24" s="18">
        <f>-(J24-G24-F24)+N23</f>
        <v>-71.673</v>
      </c>
      <c r="O24" s="18"/>
      <c r="P24" s="18">
        <f>1+P23</f>
        <v>21</v>
      </c>
    </row>
    <row r="25" ht="20.05" customHeight="1">
      <c r="B25" s="33"/>
      <c r="C25" s="17">
        <f>149.1-C24</f>
        <v>64.3</v>
      </c>
      <c r="D25" s="18">
        <f>76.6-D24</f>
        <v>33.9</v>
      </c>
      <c r="E25" s="18">
        <f>-33.3-E24</f>
        <v>-13.6</v>
      </c>
      <c r="F25" s="18">
        <f>-15.4-F24</f>
        <v>-7.6</v>
      </c>
      <c r="G25" s="18">
        <f>-3.5-G24</f>
        <v>-1.3</v>
      </c>
      <c r="H25" s="18">
        <f>-46.226-F25-F24-G25-G24-H24</f>
        <v>-10.022</v>
      </c>
      <c r="I25" s="18">
        <v>0</v>
      </c>
      <c r="J25" s="18">
        <f>-46.2-J24</f>
        <v>-18.9</v>
      </c>
      <c r="K25" s="23">
        <f>D25+E25+F25+G25</f>
        <v>11.4</v>
      </c>
      <c r="L25" s="23">
        <f>AVERAGE(K22:K25)</f>
        <v>5.05775</v>
      </c>
      <c r="M25" s="18"/>
      <c r="N25" s="18">
        <f>-(J25-G25-F25)+N24</f>
        <v>-61.673</v>
      </c>
      <c r="O25" s="18"/>
      <c r="P25" s="18">
        <f>1+P24</f>
        <v>22</v>
      </c>
    </row>
    <row r="26" ht="20.05" customHeight="1">
      <c r="B26" s="33"/>
      <c r="C26" s="17">
        <f>191.5-SUM(C24:C25)</f>
        <v>42.4</v>
      </c>
      <c r="D26" s="18">
        <f>101.9-SUM(D24:D25)</f>
        <v>25.3</v>
      </c>
      <c r="E26" s="18">
        <f>-49.3-SUM(E24:E25)</f>
        <v>-16</v>
      </c>
      <c r="F26" s="18">
        <f>-24.2-SUM(F24:F25)</f>
        <v>-8.800000000000001</v>
      </c>
      <c r="G26" s="18">
        <f>-4.9-SUM(G24:G25)</f>
        <v>-1.4</v>
      </c>
      <c r="H26" s="18">
        <f>-55.628-F26-F25-F24-G26-G25-G24-H25-H24</f>
        <v>0.798</v>
      </c>
      <c r="I26" s="18">
        <v>0</v>
      </c>
      <c r="J26" s="18">
        <f>-55.6-SUM(J24:J25)</f>
        <v>-9.4</v>
      </c>
      <c r="K26" s="23">
        <f>D26+E26+F26+G26</f>
        <v>-0.9</v>
      </c>
      <c r="L26" s="23">
        <f>AVERAGE(K23:K26)</f>
        <v>0.715</v>
      </c>
      <c r="M26" s="18"/>
      <c r="N26" s="18">
        <f>-(J26-G26-F26)+N25</f>
        <v>-62.473</v>
      </c>
      <c r="O26" s="18"/>
      <c r="P26" s="18">
        <f>1+P25</f>
        <v>23</v>
      </c>
    </row>
    <row r="27" ht="20.05" customHeight="1">
      <c r="B27" s="33"/>
      <c r="C27" s="17">
        <f>237.1-SUM(C24:C26)</f>
        <v>45.6</v>
      </c>
      <c r="D27" s="18">
        <f>132.9-SUM(D24:D26)</f>
        <v>31</v>
      </c>
      <c r="E27" s="18">
        <f>49.1-SUM(E24:E26)</f>
        <v>98.40000000000001</v>
      </c>
      <c r="F27" s="18">
        <f>-35.5-SUM(F24:F26)</f>
        <v>-11.3</v>
      </c>
      <c r="G27" s="18">
        <f>-7.9-SUM(G24:G26)</f>
        <v>-3</v>
      </c>
      <c r="H27" s="18">
        <f>J27-I27-G27-F27</f>
        <v>-113</v>
      </c>
      <c r="I27" s="18">
        <v>0</v>
      </c>
      <c r="J27" s="18">
        <f>-182.9-SUM(J24:J26)</f>
        <v>-127.3</v>
      </c>
      <c r="K27" s="23">
        <f>D27+E27+F27+G27</f>
        <v>115.1</v>
      </c>
      <c r="L27" s="23">
        <f>AVERAGE(K24:K27)</f>
        <v>34.65</v>
      </c>
      <c r="M27" s="18"/>
      <c r="N27" s="18">
        <f>-(J27-G27-F27)+N26</f>
        <v>50.527</v>
      </c>
      <c r="O27" s="18"/>
      <c r="P27" s="18">
        <f>1+P26</f>
        <v>24</v>
      </c>
    </row>
    <row r="28" ht="20.05" customHeight="1">
      <c r="B28" s="36">
        <v>2022</v>
      </c>
      <c r="C28" s="17">
        <v>28.9</v>
      </c>
      <c r="D28" s="18">
        <v>9.800000000000001</v>
      </c>
      <c r="E28" s="18">
        <v>10.4</v>
      </c>
      <c r="F28" s="18">
        <v>-6</v>
      </c>
      <c r="G28" s="18">
        <v>-1</v>
      </c>
      <c r="H28" s="18">
        <f>J28-I28-G28-F28</f>
        <v>18.1</v>
      </c>
      <c r="I28" s="18">
        <v>0</v>
      </c>
      <c r="J28" s="18">
        <v>11.1</v>
      </c>
      <c r="K28" s="23">
        <f>D28+E28+F28+G28</f>
        <v>13.2</v>
      </c>
      <c r="L28" s="23">
        <f>AVERAGE(K25:K28)</f>
        <v>34.7</v>
      </c>
      <c r="M28" s="18">
        <v>8.277836067541999</v>
      </c>
      <c r="N28" s="18">
        <f>-(J28-G28-F28)+N27</f>
        <v>32.427</v>
      </c>
      <c r="O28" s="18">
        <v>-38.6058580278346</v>
      </c>
      <c r="P28" s="18">
        <f>1+P27</f>
        <v>25</v>
      </c>
    </row>
    <row r="29" ht="20.05" customHeight="1">
      <c r="B29" s="33"/>
      <c r="C29" s="17"/>
      <c r="D29" s="16"/>
      <c r="E29" s="18"/>
      <c r="F29" s="18"/>
      <c r="G29" s="18"/>
      <c r="H29" s="18"/>
      <c r="I29" s="18"/>
      <c r="J29" s="18"/>
      <c r="K29" s="23"/>
      <c r="L29" s="24"/>
      <c r="M29" s="23">
        <f>SUM('Model'!F9:F11)</f>
        <v>9.615048</v>
      </c>
      <c r="N29" s="24"/>
      <c r="O29" s="18">
        <f>'Model'!F35</f>
        <v>70.50644800000001</v>
      </c>
      <c r="P29" s="18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21875" style="42" customWidth="1"/>
    <col min="2" max="2" width="8.49219" style="42" customWidth="1"/>
    <col min="3" max="11" width="9.625" style="42" customWidth="1"/>
    <col min="12" max="16384" width="16.3516" style="42" customWidth="1"/>
  </cols>
  <sheetData>
    <row r="1" ht="33.6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57</v>
      </c>
      <c r="D3" t="s" s="5">
        <v>58</v>
      </c>
      <c r="E3" t="s" s="5">
        <v>24</v>
      </c>
      <c r="F3" t="s" s="5">
        <v>25</v>
      </c>
      <c r="G3" t="s" s="5">
        <v>12</v>
      </c>
      <c r="H3" t="s" s="5">
        <v>54</v>
      </c>
      <c r="I3" t="s" s="5">
        <v>59</v>
      </c>
      <c r="J3" t="s" s="5">
        <v>60</v>
      </c>
      <c r="K3" t="s" s="5">
        <v>36</v>
      </c>
    </row>
    <row r="4" ht="20.25" customHeight="1">
      <c r="B4" s="27">
        <v>2016</v>
      </c>
      <c r="C4" s="40">
        <v>14</v>
      </c>
      <c r="D4" s="31">
        <v>840</v>
      </c>
      <c r="E4" s="31">
        <f>D4-C4</f>
        <v>826</v>
      </c>
      <c r="F4" s="31">
        <f>128+194</f>
        <v>322</v>
      </c>
      <c r="G4" s="31">
        <v>517</v>
      </c>
      <c r="H4" s="31">
        <v>323</v>
      </c>
      <c r="I4" s="31">
        <f>G4+H4-C4-E4</f>
        <v>0</v>
      </c>
      <c r="J4" s="31">
        <f>C4-G4</f>
        <v>-503</v>
      </c>
      <c r="K4" s="41"/>
    </row>
    <row r="5" ht="20.05" customHeight="1">
      <c r="B5" s="33"/>
      <c r="C5" s="17">
        <v>20</v>
      </c>
      <c r="D5" s="18">
        <v>835</v>
      </c>
      <c r="E5" s="18">
        <f>D5-C5</f>
        <v>815</v>
      </c>
      <c r="F5" s="18">
        <f>134+202</f>
        <v>336</v>
      </c>
      <c r="G5" s="18">
        <v>506</v>
      </c>
      <c r="H5" s="18">
        <v>329</v>
      </c>
      <c r="I5" s="18">
        <f>G5+H5-C5-E5</f>
        <v>0</v>
      </c>
      <c r="J5" s="18">
        <f>C5-G5</f>
        <v>-486</v>
      </c>
      <c r="K5" s="22"/>
    </row>
    <row r="6" ht="20.05" customHeight="1">
      <c r="B6" s="33"/>
      <c r="C6" s="17">
        <v>17</v>
      </c>
      <c r="D6" s="18">
        <v>841</v>
      </c>
      <c r="E6" s="18">
        <f>D6-C6</f>
        <v>824</v>
      </c>
      <c r="F6" s="18">
        <f>140+206</f>
        <v>346</v>
      </c>
      <c r="G6" s="18">
        <v>504</v>
      </c>
      <c r="H6" s="18">
        <v>337</v>
      </c>
      <c r="I6" s="18">
        <f>G6+H6-C6-E6</f>
        <v>0</v>
      </c>
      <c r="J6" s="18">
        <f>C6-G6</f>
        <v>-487</v>
      </c>
      <c r="K6" s="22"/>
    </row>
    <row r="7" ht="20.05" customHeight="1">
      <c r="B7" s="33"/>
      <c r="C7" s="17">
        <f>13</f>
        <v>13</v>
      </c>
      <c r="D7" s="18">
        <v>853</v>
      </c>
      <c r="E7" s="18">
        <f>D7-C7</f>
        <v>840</v>
      </c>
      <c r="F7" s="18">
        <f>157+200</f>
        <v>357</v>
      </c>
      <c r="G7" s="18">
        <v>511</v>
      </c>
      <c r="H7" s="18">
        <v>342</v>
      </c>
      <c r="I7" s="18">
        <f>G7+H7-C7-E7</f>
        <v>0</v>
      </c>
      <c r="J7" s="18">
        <f>C7-G7</f>
        <v>-498</v>
      </c>
      <c r="K7" s="22"/>
    </row>
    <row r="8" ht="20.05" customHeight="1">
      <c r="B8" s="36">
        <v>2017</v>
      </c>
      <c r="C8" s="17">
        <v>7</v>
      </c>
      <c r="D8" s="18">
        <v>843</v>
      </c>
      <c r="E8" s="18">
        <f>D8-C8</f>
        <v>836</v>
      </c>
      <c r="F8" s="18">
        <f>162+204</f>
        <v>366</v>
      </c>
      <c r="G8" s="18">
        <v>499</v>
      </c>
      <c r="H8" s="18">
        <v>344</v>
      </c>
      <c r="I8" s="18">
        <f>G8+H8-C8-E8</f>
        <v>0</v>
      </c>
      <c r="J8" s="18">
        <f>C8-G8</f>
        <v>-492</v>
      </c>
      <c r="K8" s="22"/>
    </row>
    <row r="9" ht="20.05" customHeight="1">
      <c r="B9" s="33"/>
      <c r="C9" s="17">
        <v>17</v>
      </c>
      <c r="D9" s="18">
        <v>871</v>
      </c>
      <c r="E9" s="18">
        <f>D9-C9</f>
        <v>854</v>
      </c>
      <c r="F9" s="18">
        <f>168+210</f>
        <v>378</v>
      </c>
      <c r="G9" s="18">
        <v>520</v>
      </c>
      <c r="H9" s="18">
        <v>351</v>
      </c>
      <c r="I9" s="18">
        <f>G9+H9-C9-E9</f>
        <v>0</v>
      </c>
      <c r="J9" s="18">
        <f>C9-G9</f>
        <v>-503</v>
      </c>
      <c r="K9" s="22"/>
    </row>
    <row r="10" ht="20.05" customHeight="1">
      <c r="B10" s="33"/>
      <c r="C10" s="17">
        <v>15</v>
      </c>
      <c r="D10" s="18">
        <v>882</v>
      </c>
      <c r="E10" s="18">
        <f>D10-C10</f>
        <v>867</v>
      </c>
      <c r="F10" s="18">
        <f>172+213</f>
        <v>385</v>
      </c>
      <c r="G10" s="18">
        <v>528</v>
      </c>
      <c r="H10" s="18">
        <v>354</v>
      </c>
      <c r="I10" s="18">
        <f>G10+H10-C10-E10</f>
        <v>0</v>
      </c>
      <c r="J10" s="18">
        <f>C10-G10</f>
        <v>-513</v>
      </c>
      <c r="K10" s="22"/>
    </row>
    <row r="11" ht="20.05" customHeight="1">
      <c r="B11" s="33"/>
      <c r="C11" s="17">
        <v>32</v>
      </c>
      <c r="D11" s="18">
        <v>921</v>
      </c>
      <c r="E11" s="18">
        <f>D11-C11</f>
        <v>889</v>
      </c>
      <c r="F11" s="18">
        <f>203+244</f>
        <v>447</v>
      </c>
      <c r="G11" s="18">
        <v>571</v>
      </c>
      <c r="H11" s="18">
        <v>350</v>
      </c>
      <c r="I11" s="18">
        <f>G11+H11-C11-E11</f>
        <v>0</v>
      </c>
      <c r="J11" s="18">
        <f>C11-G11</f>
        <v>-539</v>
      </c>
      <c r="K11" s="22"/>
    </row>
    <row r="12" ht="20.05" customHeight="1">
      <c r="B12" s="36">
        <v>2018</v>
      </c>
      <c r="C12" s="17">
        <v>22</v>
      </c>
      <c r="D12" s="18">
        <v>930</v>
      </c>
      <c r="E12" s="18">
        <f>D12-C12</f>
        <v>908</v>
      </c>
      <c r="F12" s="18">
        <f>185+226</f>
        <v>411</v>
      </c>
      <c r="G12" s="18">
        <v>577</v>
      </c>
      <c r="H12" s="18">
        <v>353</v>
      </c>
      <c r="I12" s="18">
        <f>G12+H12-C12-E12</f>
        <v>0</v>
      </c>
      <c r="J12" s="18">
        <f>C12-G12</f>
        <v>-555</v>
      </c>
      <c r="K12" s="22"/>
    </row>
    <row r="13" ht="20.05" customHeight="1">
      <c r="B13" s="33"/>
      <c r="C13" s="17">
        <v>2</v>
      </c>
      <c r="D13" s="18">
        <v>922</v>
      </c>
      <c r="E13" s="18">
        <f>D13-C13</f>
        <v>920</v>
      </c>
      <c r="F13" s="18">
        <f>191+230</f>
        <v>421</v>
      </c>
      <c r="G13" s="18">
        <v>560</v>
      </c>
      <c r="H13" s="18">
        <v>362</v>
      </c>
      <c r="I13" s="18">
        <f>G13+H13-C13-E13</f>
        <v>0</v>
      </c>
      <c r="J13" s="18">
        <f>C13-G13</f>
        <v>-558</v>
      </c>
      <c r="K13" s="22"/>
    </row>
    <row r="14" ht="20.05" customHeight="1">
      <c r="B14" s="33"/>
      <c r="C14" s="17">
        <v>5</v>
      </c>
      <c r="D14" s="18">
        <v>921</v>
      </c>
      <c r="E14" s="18">
        <f>D14-C14</f>
        <v>916</v>
      </c>
      <c r="F14" s="18">
        <f>197+236</f>
        <v>433</v>
      </c>
      <c r="G14" s="18">
        <v>558</v>
      </c>
      <c r="H14" s="18">
        <v>363</v>
      </c>
      <c r="I14" s="18">
        <f>G14+H14-C14-E14</f>
        <v>0</v>
      </c>
      <c r="J14" s="18">
        <f>C14-G14</f>
        <v>-553</v>
      </c>
      <c r="K14" s="22"/>
    </row>
    <row r="15" ht="20.05" customHeight="1">
      <c r="B15" s="33"/>
      <c r="C15" s="17">
        <v>15</v>
      </c>
      <c r="D15" s="18">
        <v>916</v>
      </c>
      <c r="E15" s="18">
        <f>D15-C15</f>
        <v>901</v>
      </c>
      <c r="F15" s="18">
        <f>223+203</f>
        <v>426</v>
      </c>
      <c r="G15" s="18">
        <v>546</v>
      </c>
      <c r="H15" s="18">
        <v>370</v>
      </c>
      <c r="I15" s="18">
        <f>G15+H15-C15-E15</f>
        <v>0</v>
      </c>
      <c r="J15" s="18">
        <f>C15-G15</f>
        <v>-531</v>
      </c>
      <c r="K15" s="22"/>
    </row>
    <row r="16" ht="20.05" customHeight="1">
      <c r="B16" s="36">
        <v>2019</v>
      </c>
      <c r="C16" s="17">
        <v>10</v>
      </c>
      <c r="D16" s="18">
        <v>917</v>
      </c>
      <c r="E16" s="18">
        <f>D16-C16</f>
        <v>907</v>
      </c>
      <c r="F16" s="18">
        <f>210+251</f>
        <v>461</v>
      </c>
      <c r="G16" s="18">
        <v>541</v>
      </c>
      <c r="H16" s="18">
        <v>376</v>
      </c>
      <c r="I16" s="18">
        <f>G16+H16-C16-E16</f>
        <v>0</v>
      </c>
      <c r="J16" s="18">
        <f>C16-G16</f>
        <v>-531</v>
      </c>
      <c r="K16" s="22"/>
    </row>
    <row r="17" ht="20.05" customHeight="1">
      <c r="B17" s="33"/>
      <c r="C17" s="17">
        <v>30</v>
      </c>
      <c r="D17" s="18">
        <v>954</v>
      </c>
      <c r="E17" s="18">
        <f>D17-C17</f>
        <v>924</v>
      </c>
      <c r="F17" s="18">
        <f>217+259</f>
        <v>476</v>
      </c>
      <c r="G17" s="18">
        <v>577</v>
      </c>
      <c r="H17" s="18">
        <v>377</v>
      </c>
      <c r="I17" s="18">
        <f>G17+H17-C17-E17</f>
        <v>0</v>
      </c>
      <c r="J17" s="18">
        <f>C17-G17</f>
        <v>-547</v>
      </c>
      <c r="K17" s="22"/>
    </row>
    <row r="18" ht="20.05" customHeight="1">
      <c r="B18" s="33"/>
      <c r="C18" s="17">
        <v>57</v>
      </c>
      <c r="D18" s="18">
        <v>983</v>
      </c>
      <c r="E18" s="18">
        <f>D18-C18</f>
        <v>926</v>
      </c>
      <c r="F18" s="18">
        <f>223+266</f>
        <v>489</v>
      </c>
      <c r="G18" s="18">
        <v>601</v>
      </c>
      <c r="H18" s="18">
        <v>382</v>
      </c>
      <c r="I18" s="18">
        <f>G18+H18-C18-E18</f>
        <v>0</v>
      </c>
      <c r="J18" s="18">
        <f>C18-G18</f>
        <v>-544</v>
      </c>
      <c r="K18" s="22"/>
    </row>
    <row r="19" ht="20.05" customHeight="1">
      <c r="B19" s="33"/>
      <c r="C19" s="17">
        <v>7</v>
      </c>
      <c r="D19" s="18">
        <v>991</v>
      </c>
      <c r="E19" s="18">
        <f>D19-C19</f>
        <v>984</v>
      </c>
      <c r="F19" s="18">
        <f>233+272</f>
        <v>505</v>
      </c>
      <c r="G19" s="18">
        <v>637</v>
      </c>
      <c r="H19" s="18">
        <v>354</v>
      </c>
      <c r="I19" s="18">
        <f>G19+H19-C19-E19</f>
        <v>0</v>
      </c>
      <c r="J19" s="18">
        <f>C19-G19</f>
        <v>-630</v>
      </c>
      <c r="K19" s="22"/>
    </row>
    <row r="20" ht="20.05" customHeight="1">
      <c r="B20" s="36">
        <v>2020</v>
      </c>
      <c r="C20" s="17">
        <v>29</v>
      </c>
      <c r="D20" s="18">
        <v>1001</v>
      </c>
      <c r="E20" s="18">
        <f>D20-C20</f>
        <v>972</v>
      </c>
      <c r="F20" s="18">
        <f>240+277</f>
        <v>517</v>
      </c>
      <c r="G20" s="18">
        <v>650</v>
      </c>
      <c r="H20" s="18">
        <v>351</v>
      </c>
      <c r="I20" s="18">
        <f>G20+H20-C20-E20</f>
        <v>0</v>
      </c>
      <c r="J20" s="18">
        <f>C20-G20</f>
        <v>-621</v>
      </c>
      <c r="K20" s="22"/>
    </row>
    <row r="21" ht="20.05" customHeight="1">
      <c r="B21" s="33"/>
      <c r="C21" s="17">
        <v>5</v>
      </c>
      <c r="D21" s="18">
        <v>961</v>
      </c>
      <c r="E21" s="18">
        <f>D21-C21</f>
        <v>956</v>
      </c>
      <c r="F21" s="18">
        <f>247+283</f>
        <v>530</v>
      </c>
      <c r="G21" s="18">
        <v>615</v>
      </c>
      <c r="H21" s="18">
        <v>346</v>
      </c>
      <c r="I21" s="18">
        <f>G21+H21-C21-E21</f>
        <v>0</v>
      </c>
      <c r="J21" s="18">
        <f>C21-G21</f>
        <v>-610</v>
      </c>
      <c r="K21" s="22"/>
    </row>
    <row r="22" ht="20.05" customHeight="1">
      <c r="B22" s="33"/>
      <c r="C22" s="17">
        <v>33</v>
      </c>
      <c r="D22" s="18">
        <v>972</v>
      </c>
      <c r="E22" s="18">
        <f>D22-C22</f>
        <v>939</v>
      </c>
      <c r="F22" s="22">
        <f>255+288</f>
        <v>543</v>
      </c>
      <c r="G22" s="18">
        <v>619</v>
      </c>
      <c r="H22" s="18">
        <v>353</v>
      </c>
      <c r="I22" s="18">
        <f>G22+H22-C22-E22</f>
        <v>0</v>
      </c>
      <c r="J22" s="18">
        <f>C22-G22</f>
        <v>-586</v>
      </c>
      <c r="K22" s="22"/>
    </row>
    <row r="23" ht="20.05" customHeight="1">
      <c r="B23" s="33"/>
      <c r="C23" s="21">
        <v>7</v>
      </c>
      <c r="D23" s="18">
        <v>960</v>
      </c>
      <c r="E23" s="18">
        <f>D23-C23</f>
        <v>953</v>
      </c>
      <c r="F23" s="22">
        <f>264+296</f>
        <v>560</v>
      </c>
      <c r="G23" s="18">
        <v>586</v>
      </c>
      <c r="H23" s="18">
        <v>374</v>
      </c>
      <c r="I23" s="18">
        <f>G23+H23-C23-E23</f>
        <v>0</v>
      </c>
      <c r="J23" s="18">
        <f>C23-G23</f>
        <v>-579</v>
      </c>
      <c r="K23" s="22"/>
    </row>
    <row r="24" ht="20.05" customHeight="1">
      <c r="B24" s="36">
        <v>2021</v>
      </c>
      <c r="C24" s="21">
        <v>3</v>
      </c>
      <c r="D24" s="18">
        <v>936</v>
      </c>
      <c r="E24" s="18">
        <f>D24-C24</f>
        <v>933</v>
      </c>
      <c r="F24" s="22">
        <f>276+304</f>
        <v>580</v>
      </c>
      <c r="G24" s="18">
        <v>543</v>
      </c>
      <c r="H24" s="18">
        <v>393</v>
      </c>
      <c r="I24" s="18">
        <f>G24+H24-C24-E24</f>
        <v>0</v>
      </c>
      <c r="J24" s="18">
        <f>C24-G24</f>
        <v>-540</v>
      </c>
      <c r="K24" s="22"/>
    </row>
    <row r="25" ht="20.05" customHeight="1">
      <c r="B25" s="33"/>
      <c r="C25" s="21">
        <v>5</v>
      </c>
      <c r="D25" s="18">
        <v>926</v>
      </c>
      <c r="E25" s="18">
        <f>D25-C25</f>
        <v>921</v>
      </c>
      <c r="F25" s="22">
        <f>280+311</f>
        <v>591</v>
      </c>
      <c r="G25" s="18">
        <f>533</f>
        <v>533</v>
      </c>
      <c r="H25" s="18">
        <v>393</v>
      </c>
      <c r="I25" s="18">
        <f>G25+H25-C25-E25</f>
        <v>0</v>
      </c>
      <c r="J25" s="18">
        <f>C25-G25</f>
        <v>-528</v>
      </c>
      <c r="K25" s="22"/>
    </row>
    <row r="26" ht="20.05" customHeight="1">
      <c r="B26" s="33"/>
      <c r="C26" s="21">
        <v>4</v>
      </c>
      <c r="D26" s="18">
        <v>931</v>
      </c>
      <c r="E26" s="18">
        <f>D26-C26</f>
        <v>927</v>
      </c>
      <c r="F26" s="22">
        <f>287+317</f>
        <v>604</v>
      </c>
      <c r="G26" s="18">
        <v>546</v>
      </c>
      <c r="H26" s="18">
        <v>385</v>
      </c>
      <c r="I26" s="18">
        <f>G26+H26-C26-E26</f>
        <v>0</v>
      </c>
      <c r="J26" s="18">
        <f>C26-G26</f>
        <v>-542</v>
      </c>
      <c r="K26" s="22"/>
    </row>
    <row r="27" ht="20.05" customHeight="1">
      <c r="B27" s="33"/>
      <c r="C27" s="21">
        <v>6</v>
      </c>
      <c r="D27" s="18">
        <v>841</v>
      </c>
      <c r="E27" s="18">
        <f>D27-C27</f>
        <v>835</v>
      </c>
      <c r="F27" s="22">
        <f>274+278</f>
        <v>552</v>
      </c>
      <c r="G27" s="18">
        <v>442</v>
      </c>
      <c r="H27" s="18">
        <v>399</v>
      </c>
      <c r="I27" s="18">
        <f>G27+H27-C27-E27</f>
        <v>0</v>
      </c>
      <c r="J27" s="18">
        <f>C27-G27</f>
        <v>-436</v>
      </c>
      <c r="K27" s="22"/>
    </row>
    <row r="28" ht="20.05" customHeight="1">
      <c r="B28" s="36">
        <v>2022</v>
      </c>
      <c r="C28" s="21">
        <v>35</v>
      </c>
      <c r="D28" s="18">
        <v>833</v>
      </c>
      <c r="E28" s="18">
        <f>D28-C28</f>
        <v>798</v>
      </c>
      <c r="F28" s="22">
        <f>280+280</f>
        <v>560</v>
      </c>
      <c r="G28" s="18">
        <v>433</v>
      </c>
      <c r="H28" s="18">
        <v>400</v>
      </c>
      <c r="I28" s="18">
        <f>G28+H28-C28-E28</f>
        <v>0</v>
      </c>
      <c r="J28" s="18">
        <f>C28-G28</f>
        <v>-398</v>
      </c>
      <c r="K28" s="23">
        <v>-508.332858027835</v>
      </c>
    </row>
    <row r="29" ht="20.05" customHeight="1">
      <c r="B29" s="33"/>
      <c r="C29" s="21"/>
      <c r="D29" s="18"/>
      <c r="E29" s="18">
        <f>D29-C29</f>
        <v>0</v>
      </c>
      <c r="F29" s="22"/>
      <c r="G29" s="18"/>
      <c r="H29" s="18"/>
      <c r="I29" s="18"/>
      <c r="J29" s="18"/>
      <c r="K29" s="23">
        <f>'Model'!F32</f>
        <v>-356.920552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4219" style="43" customWidth="1"/>
    <col min="2" max="2" width="7.60938" style="43" customWidth="1"/>
    <col min="3" max="4" width="8.85156" style="43" customWidth="1"/>
    <col min="5" max="16384" width="16.3516" style="43" customWidth="1"/>
  </cols>
  <sheetData>
    <row r="1" ht="40.5" customHeight="1"/>
    <row r="2" ht="27.65" customHeight="1">
      <c r="B2" t="s" s="2">
        <v>61</v>
      </c>
      <c r="C2" s="2"/>
      <c r="D2" s="2"/>
    </row>
    <row r="3" ht="20.05" customHeight="1">
      <c r="B3" s="44"/>
      <c r="C3" t="s" s="45">
        <v>62</v>
      </c>
      <c r="D3" t="s" s="46">
        <v>63</v>
      </c>
    </row>
    <row r="4" ht="20.05" customHeight="1">
      <c r="B4" s="47">
        <v>2018</v>
      </c>
      <c r="C4" s="48">
        <v>278</v>
      </c>
      <c r="D4" s="49"/>
    </row>
    <row r="5" ht="20.05" customHeight="1">
      <c r="B5" s="50"/>
      <c r="C5" s="48">
        <v>185</v>
      </c>
      <c r="D5" s="49"/>
    </row>
    <row r="6" ht="20.05" customHeight="1">
      <c r="B6" s="50"/>
      <c r="C6" s="48">
        <v>200</v>
      </c>
      <c r="D6" s="49"/>
    </row>
    <row r="7" ht="20.05" customHeight="1">
      <c r="B7" s="50"/>
      <c r="C7" s="48">
        <v>202</v>
      </c>
      <c r="D7" s="49"/>
    </row>
    <row r="8" ht="20.05" customHeight="1">
      <c r="B8" s="51">
        <v>2019</v>
      </c>
      <c r="C8" s="48">
        <v>189</v>
      </c>
      <c r="D8" s="49"/>
    </row>
    <row r="9" ht="20.05" customHeight="1">
      <c r="B9" s="50"/>
      <c r="C9" s="48">
        <v>240</v>
      </c>
      <c r="D9" s="49"/>
    </row>
    <row r="10" ht="20.05" customHeight="1">
      <c r="B10" s="50"/>
      <c r="C10" s="48">
        <v>260</v>
      </c>
      <c r="D10" s="49"/>
    </row>
    <row r="11" ht="20.05" customHeight="1">
      <c r="B11" s="50"/>
      <c r="C11" s="48">
        <v>260</v>
      </c>
      <c r="D11" s="49"/>
    </row>
    <row r="12" ht="20.05" customHeight="1">
      <c r="B12" s="51">
        <v>2020</v>
      </c>
      <c r="C12" s="48">
        <v>191</v>
      </c>
      <c r="D12" s="52"/>
    </row>
    <row r="13" ht="20.05" customHeight="1">
      <c r="B13" s="50"/>
      <c r="C13" s="53">
        <v>176</v>
      </c>
      <c r="D13" s="54"/>
    </row>
    <row r="14" ht="20.05" customHeight="1">
      <c r="B14" s="55"/>
      <c r="C14" s="56">
        <v>206</v>
      </c>
      <c r="D14" s="24"/>
    </row>
    <row r="15" ht="20.05" customHeight="1">
      <c r="B15" s="57"/>
      <c r="C15" s="56">
        <v>264</v>
      </c>
      <c r="D15" s="24"/>
    </row>
    <row r="16" ht="20.05" customHeight="1">
      <c r="B16" s="58">
        <v>2021</v>
      </c>
      <c r="C16" s="56">
        <v>195</v>
      </c>
      <c r="D16" s="24"/>
    </row>
    <row r="17" ht="20.05" customHeight="1">
      <c r="B17" s="57"/>
      <c r="C17" s="56">
        <v>178</v>
      </c>
      <c r="D17" s="24"/>
    </row>
    <row r="18" ht="20.05" customHeight="1">
      <c r="B18" s="57"/>
      <c r="C18" s="56">
        <v>150</v>
      </c>
      <c r="D18" s="24"/>
    </row>
    <row r="19" ht="20.05" customHeight="1">
      <c r="B19" s="57"/>
      <c r="C19" s="56">
        <v>139</v>
      </c>
      <c r="D19" s="24"/>
    </row>
    <row r="20" ht="20.05" customHeight="1">
      <c r="B20" s="58">
        <v>2022</v>
      </c>
      <c r="C20" s="56">
        <v>125</v>
      </c>
      <c r="D20" s="22">
        <v>207.922463499949</v>
      </c>
    </row>
    <row r="21" ht="20.05" customHeight="1">
      <c r="B21" s="57"/>
      <c r="C21" s="56">
        <v>123</v>
      </c>
      <c r="D21" s="22">
        <v>180.101852186575</v>
      </c>
    </row>
    <row r="22" ht="20.05" customHeight="1">
      <c r="B22" s="57"/>
      <c r="C22" s="56"/>
      <c r="D22" s="22">
        <f>'Model'!F46</f>
        <v>169.951582262443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W44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6.5625" style="59" customWidth="1"/>
    <col min="2" max="11" width="12.3984" style="59" customWidth="1"/>
    <col min="12" max="23" width="11.375" style="60" customWidth="1"/>
    <col min="24" max="16384" width="16.3516" style="60" customWidth="1"/>
  </cols>
  <sheetData>
    <row r="1" ht="27.65" customHeight="1">
      <c r="B1" t="s" s="2">
        <v>64</v>
      </c>
      <c r="C1" s="2"/>
      <c r="D1" s="2"/>
      <c r="E1" s="2"/>
      <c r="F1" s="2"/>
      <c r="G1" s="2"/>
      <c r="H1" s="2"/>
      <c r="I1" s="2"/>
      <c r="J1" s="2"/>
      <c r="K1" s="2"/>
    </row>
    <row r="2" ht="20.25" customHeight="1">
      <c r="B2" t="s" s="5">
        <v>1</v>
      </c>
      <c r="C2" t="s" s="5">
        <v>12</v>
      </c>
      <c r="D2" t="s" s="5">
        <v>54</v>
      </c>
      <c r="E2" t="s" s="5">
        <v>65</v>
      </c>
      <c r="F2" t="s" s="5">
        <v>12</v>
      </c>
      <c r="G2" t="s" s="5">
        <v>54</v>
      </c>
      <c r="H2" t="s" s="5">
        <v>65</v>
      </c>
      <c r="I2" s="4"/>
      <c r="J2" s="4"/>
      <c r="K2" s="4"/>
    </row>
    <row r="3" ht="20.25" customHeight="1">
      <c r="B3" s="27">
        <v>2005</v>
      </c>
      <c r="C3" s="40"/>
      <c r="D3" s="31"/>
      <c r="E3" s="31">
        <f>C3+D3</f>
        <v>0</v>
      </c>
      <c r="F3" s="31">
        <f>C3</f>
        <v>0</v>
      </c>
      <c r="G3" s="31">
        <f>D3</f>
        <v>0</v>
      </c>
      <c r="H3" s="31">
        <f>E3</f>
        <v>0</v>
      </c>
      <c r="I3" s="8"/>
      <c r="J3" s="8"/>
      <c r="K3" s="8"/>
    </row>
    <row r="4" ht="20.05" customHeight="1">
      <c r="B4" s="36">
        <f>1+$B3</f>
        <v>2006</v>
      </c>
      <c r="C4" s="34"/>
      <c r="D4" s="18"/>
      <c r="E4" s="18">
        <f>C4+D4</f>
        <v>0</v>
      </c>
      <c r="F4" s="18">
        <f>C4+F3</f>
        <v>0</v>
      </c>
      <c r="G4" s="18">
        <f>D4+G3</f>
        <v>0</v>
      </c>
      <c r="H4" s="18">
        <f>E4+H3</f>
        <v>0</v>
      </c>
      <c r="I4" s="24"/>
      <c r="J4" s="24"/>
      <c r="K4" s="24"/>
    </row>
    <row r="5" ht="20.05" customHeight="1">
      <c r="B5" s="36">
        <f>1+$B4</f>
        <v>2007</v>
      </c>
      <c r="C5" s="34"/>
      <c r="D5" s="18"/>
      <c r="E5" s="18">
        <f>C5+D5</f>
        <v>0</v>
      </c>
      <c r="F5" s="18">
        <f>C5+F4</f>
        <v>0</v>
      </c>
      <c r="G5" s="18">
        <f>D5+G4</f>
        <v>0</v>
      </c>
      <c r="H5" s="18">
        <f>E5+H4</f>
        <v>0</v>
      </c>
      <c r="I5" s="24"/>
      <c r="J5" s="24"/>
      <c r="K5" s="24"/>
    </row>
    <row r="6" ht="20.05" customHeight="1">
      <c r="B6" s="36">
        <f>1+$B5</f>
        <v>2008</v>
      </c>
      <c r="C6" s="34"/>
      <c r="D6" s="18"/>
      <c r="E6" s="18">
        <f>C6+D6</f>
        <v>0</v>
      </c>
      <c r="F6" s="18">
        <f>C6+F5</f>
        <v>0</v>
      </c>
      <c r="G6" s="18">
        <f>D6+G5</f>
        <v>0</v>
      </c>
      <c r="H6" s="18">
        <f>E6+H5</f>
        <v>0</v>
      </c>
      <c r="I6" s="24"/>
      <c r="J6" s="24"/>
      <c r="K6" s="24"/>
    </row>
    <row r="7" ht="20.05" customHeight="1">
      <c r="B7" s="36">
        <f>1+$B6</f>
        <v>2009</v>
      </c>
      <c r="C7" s="34"/>
      <c r="D7" s="18"/>
      <c r="E7" s="18">
        <f>C7+D7</f>
        <v>0</v>
      </c>
      <c r="F7" s="18">
        <f>C7+F6</f>
        <v>0</v>
      </c>
      <c r="G7" s="18">
        <f>D7+G6</f>
        <v>0</v>
      </c>
      <c r="H7" s="18">
        <f>E7+H6</f>
        <v>0</v>
      </c>
      <c r="I7" s="24"/>
      <c r="J7" s="24"/>
      <c r="K7" s="24"/>
    </row>
    <row r="8" ht="20.05" customHeight="1">
      <c r="B8" s="36">
        <f>1+$B7</f>
        <v>2010</v>
      </c>
      <c r="C8" s="34">
        <v>-35</v>
      </c>
      <c r="D8" s="18">
        <v>0</v>
      </c>
      <c r="E8" s="18">
        <f>C8+D8</f>
        <v>-35</v>
      </c>
      <c r="F8" s="18">
        <f>C8+F7</f>
        <v>-35</v>
      </c>
      <c r="G8" s="18">
        <f>D8+G7</f>
        <v>0</v>
      </c>
      <c r="H8" s="18">
        <f>E8+H7</f>
        <v>-35</v>
      </c>
      <c r="I8" s="24"/>
      <c r="J8" s="24"/>
      <c r="K8" s="24"/>
    </row>
    <row r="9" ht="20.05" customHeight="1">
      <c r="B9" s="36">
        <f>1+$B8</f>
        <v>2011</v>
      </c>
      <c r="C9" s="34">
        <v>-49.4</v>
      </c>
      <c r="D9" s="18">
        <v>0</v>
      </c>
      <c r="E9" s="18">
        <f>C9+D9</f>
        <v>-49.4</v>
      </c>
      <c r="F9" s="18">
        <f>C9+F8</f>
        <v>-84.40000000000001</v>
      </c>
      <c r="G9" s="18">
        <f>D9+G8</f>
        <v>0</v>
      </c>
      <c r="H9" s="18">
        <f>E9+H8</f>
        <v>-84.40000000000001</v>
      </c>
      <c r="I9" s="24"/>
      <c r="J9" s="24"/>
      <c r="K9" s="24"/>
    </row>
    <row r="10" ht="20.05" customHeight="1">
      <c r="B10" s="36">
        <f>1+$B9</f>
        <v>2012</v>
      </c>
      <c r="C10" s="21">
        <f>184+12-D10</f>
        <v>35</v>
      </c>
      <c r="D10" s="18">
        <v>161</v>
      </c>
      <c r="E10" s="18">
        <f>C10+D10</f>
        <v>196</v>
      </c>
      <c r="F10" s="18">
        <f>C10+F9</f>
        <v>-49.4</v>
      </c>
      <c r="G10" s="18">
        <f>D10+G9</f>
        <v>161</v>
      </c>
      <c r="H10" s="18">
        <f>E10+H9</f>
        <v>111.6</v>
      </c>
      <c r="I10" s="24"/>
      <c r="J10" s="24"/>
      <c r="K10" s="24"/>
    </row>
    <row r="11" ht="20.05" customHeight="1">
      <c r="B11" s="36">
        <f>1+$B10</f>
        <v>2013</v>
      </c>
      <c r="C11" s="21">
        <f>206+26+5</f>
        <v>237</v>
      </c>
      <c r="D11" s="18">
        <v>0</v>
      </c>
      <c r="E11" s="18">
        <f>C11+D11</f>
        <v>237</v>
      </c>
      <c r="F11" s="18">
        <f>C11+F10</f>
        <v>187.6</v>
      </c>
      <c r="G11" s="18">
        <f>D11+G10</f>
        <v>161</v>
      </c>
      <c r="H11" s="18">
        <f>E11+H10</f>
        <v>348.6</v>
      </c>
      <c r="I11" s="24"/>
      <c r="J11" s="24"/>
      <c r="K11" s="24"/>
    </row>
    <row r="12" ht="20.05" customHeight="1">
      <c r="B12" s="36">
        <f>1+$B11</f>
        <v>2014</v>
      </c>
      <c r="C12" s="21">
        <f>-34+23+12</f>
        <v>1</v>
      </c>
      <c r="D12" s="18">
        <v>0</v>
      </c>
      <c r="E12" s="18">
        <f>C12+D12</f>
        <v>1</v>
      </c>
      <c r="F12" s="18">
        <f>C12+F11</f>
        <v>188.6</v>
      </c>
      <c r="G12" s="18">
        <f>D12+G11</f>
        <v>161</v>
      </c>
      <c r="H12" s="18">
        <f>E12+H11</f>
        <v>349.6</v>
      </c>
      <c r="I12" s="24"/>
      <c r="J12" s="24"/>
      <c r="K12" s="24"/>
    </row>
    <row r="13" ht="20.05" customHeight="1">
      <c r="B13" s="36">
        <f>1+$B12</f>
        <v>2015</v>
      </c>
      <c r="C13" s="21">
        <f>-90+26+13</f>
        <v>-51</v>
      </c>
      <c r="D13" s="18">
        <v>0</v>
      </c>
      <c r="E13" s="18">
        <f>C13+D13</f>
        <v>-51</v>
      </c>
      <c r="F13" s="18">
        <f>C13+F12</f>
        <v>137.6</v>
      </c>
      <c r="G13" s="18">
        <f>D13+G12</f>
        <v>161</v>
      </c>
      <c r="H13" s="18">
        <f>E13+H12</f>
        <v>298.6</v>
      </c>
      <c r="I13" s="24"/>
      <c r="J13" s="24"/>
      <c r="K13" s="24"/>
    </row>
    <row r="14" ht="20.05" customHeight="1">
      <c r="B14" s="36">
        <f>1+$B13</f>
        <v>2016</v>
      </c>
      <c r="C14" s="21">
        <f>-43+24+13-5</f>
        <v>-11</v>
      </c>
      <c r="D14" s="18">
        <v>0</v>
      </c>
      <c r="E14" s="18">
        <f>C14+D14</f>
        <v>-11</v>
      </c>
      <c r="F14" s="18">
        <f>C14+F13</f>
        <v>126.6</v>
      </c>
      <c r="G14" s="18">
        <f>D14+G13</f>
        <v>161</v>
      </c>
      <c r="H14" s="18">
        <f>E14+H13</f>
        <v>287.6</v>
      </c>
      <c r="I14" s="24"/>
      <c r="J14" s="24"/>
      <c r="K14" s="24"/>
    </row>
    <row r="15" ht="20.05" customHeight="1">
      <c r="B15" s="36">
        <f>1+$B14</f>
        <v>2017</v>
      </c>
      <c r="C15" s="21">
        <f>43+28+13</f>
        <v>84</v>
      </c>
      <c r="D15" s="18">
        <v>0</v>
      </c>
      <c r="E15" s="18">
        <f>C15+D15</f>
        <v>84</v>
      </c>
      <c r="F15" s="18">
        <f>C15+F14</f>
        <v>210.6</v>
      </c>
      <c r="G15" s="18">
        <f>D15+G14</f>
        <v>161</v>
      </c>
      <c r="H15" s="18">
        <f>E15+H14</f>
        <v>371.6</v>
      </c>
      <c r="I15" s="24"/>
      <c r="J15" s="24"/>
      <c r="K15" s="24"/>
    </row>
    <row r="16" ht="20.05" customHeight="1">
      <c r="B16" s="36">
        <f>1+$B15</f>
        <v>2018</v>
      </c>
      <c r="C16" s="21">
        <f>-59+34+7</f>
        <v>-18</v>
      </c>
      <c r="D16" s="18">
        <v>0</v>
      </c>
      <c r="E16" s="18">
        <f>C16+D16</f>
        <v>-18</v>
      </c>
      <c r="F16" s="18">
        <f>C16+F15</f>
        <v>192.6</v>
      </c>
      <c r="G16" s="18">
        <f>D16+G15</f>
        <v>161</v>
      </c>
      <c r="H16" s="18">
        <f>E16+H15</f>
        <v>353.6</v>
      </c>
      <c r="I16" s="24"/>
      <c r="J16" s="24"/>
      <c r="K16" s="24"/>
    </row>
    <row r="17" ht="20.05" customHeight="1">
      <c r="B17" s="36">
        <f>1+$B16</f>
        <v>2019</v>
      </c>
      <c r="C17" s="21">
        <f>8+39+5</f>
        <v>52</v>
      </c>
      <c r="D17" s="18">
        <v>0</v>
      </c>
      <c r="E17" s="18">
        <f>C17+D17</f>
        <v>52</v>
      </c>
      <c r="F17" s="18">
        <f>C17+F16</f>
        <v>244.6</v>
      </c>
      <c r="G17" s="18">
        <f>D17+G16</f>
        <v>161</v>
      </c>
      <c r="H17" s="18">
        <f>E17+H16</f>
        <v>405.6</v>
      </c>
      <c r="I17" s="24"/>
      <c r="J17" s="24"/>
      <c r="K17" s="24"/>
    </row>
    <row r="18" ht="20.05" customHeight="1">
      <c r="B18" s="36">
        <f>1+$B17</f>
        <v>2020</v>
      </c>
      <c r="C18" s="21">
        <f>-67+35+10</f>
        <v>-22</v>
      </c>
      <c r="D18" s="18">
        <v>0</v>
      </c>
      <c r="E18" s="18">
        <f>C18+D18</f>
        <v>-22</v>
      </c>
      <c r="F18" s="18">
        <f>C18+F17</f>
        <v>222.6</v>
      </c>
      <c r="G18" s="18">
        <f>D18+G17</f>
        <v>161</v>
      </c>
      <c r="H18" s="18">
        <f>E18+H17</f>
        <v>383.6</v>
      </c>
      <c r="I18" s="24"/>
      <c r="J18" s="24"/>
      <c r="K18" s="24"/>
    </row>
    <row r="19" ht="20.05" customHeight="1">
      <c r="B19" s="36">
        <f>1+$B18</f>
        <v>2021</v>
      </c>
      <c r="C19" s="21">
        <f>SUM('Cashflow '!H24:H27)</f>
        <v>-139.528</v>
      </c>
      <c r="D19" s="18">
        <f>SUM('Cashflow '!I24:I27)</f>
        <v>0</v>
      </c>
      <c r="E19" s="18">
        <f>C19+D19</f>
        <v>-139.528</v>
      </c>
      <c r="F19" s="18">
        <f>C19+F18</f>
        <v>83.072</v>
      </c>
      <c r="G19" s="18">
        <f>D19+G18</f>
        <v>161</v>
      </c>
      <c r="H19" s="18">
        <f>E19+H18</f>
        <v>244.072</v>
      </c>
      <c r="I19" s="18">
        <f>AVERAGE(E8:E19)*14</f>
        <v>284.750666666667</v>
      </c>
      <c r="J19" s="18">
        <f>AVERAGE(E15:E19)*14</f>
        <v>-121.8784</v>
      </c>
      <c r="K19" s="22">
        <f>SUM('Cashflow '!H25:I28)*14</f>
        <v>-1457.736</v>
      </c>
    </row>
    <row r="20" ht="20.05" customHeight="1">
      <c r="B20" s="36">
        <f>1+$B19</f>
        <v>2022</v>
      </c>
      <c r="C20" s="17">
        <f>'Cashflow '!H28</f>
        <v>18.1</v>
      </c>
      <c r="D20" s="18">
        <f>'Cashflow '!I28</f>
        <v>0</v>
      </c>
      <c r="E20" s="18">
        <f>C20+D20</f>
        <v>18.1</v>
      </c>
      <c r="F20" s="18">
        <f>C20+F19</f>
        <v>101.172</v>
      </c>
      <c r="G20" s="18">
        <f>D20+G19</f>
        <v>161</v>
      </c>
      <c r="H20" s="18">
        <f>E20+H19</f>
        <v>262.172</v>
      </c>
      <c r="I20" s="24"/>
      <c r="J20" s="24"/>
      <c r="K20" s="24"/>
    </row>
    <row r="22" ht="27.65" customHeight="1">
      <c r="L22" t="s" s="2">
        <v>66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20.25" customHeight="1"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20.25" customHeight="1">
      <c r="L24" s="61"/>
      <c r="M24" t="s" s="62">
        <v>67</v>
      </c>
      <c r="N24" s="63">
        <v>3254580150272</v>
      </c>
      <c r="O24" s="8"/>
      <c r="P24" s="8"/>
      <c r="Q24" s="8"/>
      <c r="R24" s="8"/>
      <c r="S24" s="8"/>
      <c r="T24" s="8"/>
      <c r="U24" s="8"/>
      <c r="V24" s="8"/>
      <c r="W24" s="8"/>
    </row>
    <row r="25" ht="32.05" customHeight="1">
      <c r="L25" s="33"/>
      <c r="M25" t="s" s="64">
        <v>62</v>
      </c>
      <c r="N25" t="s" s="65">
        <v>68</v>
      </c>
      <c r="O25" s="12">
        <f>U44</f>
        <v>-0.447902934539243</v>
      </c>
      <c r="P25" t="s" s="65">
        <f>V44</f>
        <v>69</v>
      </c>
      <c r="Q25" t="s" s="65">
        <f>W44</f>
        <v>70</v>
      </c>
      <c r="R25" s="24"/>
      <c r="S25" s="24"/>
      <c r="T25" s="24"/>
      <c r="U25" s="24"/>
      <c r="V25" s="24"/>
      <c r="W25" s="24"/>
    </row>
    <row r="26" ht="20.05" customHeight="1">
      <c r="L26" s="33"/>
      <c r="M26" s="66">
        <v>44717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ht="20.05" customHeight="1">
      <c r="L27" s="33"/>
      <c r="M27" t="s" s="64">
        <v>71</v>
      </c>
      <c r="N27" s="22">
        <f>$B8</f>
        <v>2010</v>
      </c>
      <c r="O27" s="24"/>
      <c r="P27" s="24"/>
      <c r="Q27" s="24"/>
      <c r="R27" s="24"/>
      <c r="S27" s="24"/>
      <c r="T27" s="24"/>
      <c r="U27" s="24"/>
      <c r="V27" s="24"/>
      <c r="W27" s="24"/>
    </row>
    <row r="28" ht="32.05" customHeight="1">
      <c r="L28" s="33"/>
      <c r="M28" t="s" s="64">
        <v>72</v>
      </c>
      <c r="N28" s="22">
        <f>(2022-N27)*4</f>
        <v>48</v>
      </c>
      <c r="O28" s="24"/>
      <c r="P28" s="24"/>
      <c r="Q28" s="24"/>
      <c r="R28" s="24"/>
      <c r="S28" s="24"/>
      <c r="T28" s="24"/>
      <c r="U28" s="24"/>
      <c r="V28" s="24"/>
      <c r="W28" s="24"/>
    </row>
    <row r="29" ht="32.05" customHeight="1">
      <c r="L29" s="33"/>
      <c r="M29" t="s" s="64">
        <v>73</v>
      </c>
      <c r="N29" s="18">
        <f>(N24/1000000000)/14</f>
        <v>232.470010733714</v>
      </c>
      <c r="O29" s="24"/>
      <c r="P29" s="24"/>
      <c r="Q29" s="24"/>
      <c r="R29" s="24"/>
      <c r="S29" s="24"/>
      <c r="T29" s="24"/>
      <c r="U29" s="24"/>
      <c r="V29" s="24"/>
      <c r="W29" s="24"/>
    </row>
    <row r="30" ht="32.05" customHeight="1">
      <c r="L30" s="33"/>
      <c r="M30" t="s" s="64">
        <v>12</v>
      </c>
      <c r="N30" s="18">
        <f>S34</f>
        <v>101.172</v>
      </c>
      <c r="O30" t="s" s="65">
        <f>S31</f>
        <v>74</v>
      </c>
      <c r="P30" t="s" s="65">
        <f>IF(N30&gt;0,"raised","paid")</f>
        <v>75</v>
      </c>
      <c r="Q30" s="24"/>
      <c r="R30" s="24"/>
      <c r="S30" s="24"/>
      <c r="T30" s="24"/>
      <c r="U30" s="24"/>
      <c r="V30" s="24"/>
      <c r="W30" s="24"/>
    </row>
    <row r="31" ht="32.05" customHeight="1">
      <c r="L31" s="33"/>
      <c r="M31" t="s" s="64">
        <f>M25</f>
        <v>62</v>
      </c>
      <c r="N31" t="s" s="65">
        <v>76</v>
      </c>
      <c r="O31" t="s" s="65">
        <f>IF(R31&gt;0,"raised","paid")</f>
        <v>75</v>
      </c>
      <c r="P31" t="s" s="65">
        <v>77</v>
      </c>
      <c r="Q31" t="s" s="65">
        <v>78</v>
      </c>
      <c r="R31" s="22">
        <f>AVERAGE(C8:C20)</f>
        <v>7.78246153846154</v>
      </c>
      <c r="S31" t="s" s="65">
        <v>74</v>
      </c>
      <c r="T31" t="s" s="65">
        <v>79</v>
      </c>
      <c r="U31" s="16">
        <f>R31/N29</f>
        <v>0.0334772709559345</v>
      </c>
      <c r="V31" t="s" s="65">
        <v>80</v>
      </c>
      <c r="W31" s="24"/>
    </row>
    <row r="32" ht="32.05" customHeight="1">
      <c r="L32" s="33"/>
      <c r="M32" t="s" s="64">
        <v>81</v>
      </c>
      <c r="N32" t="s" s="65">
        <f>P31</f>
        <v>77</v>
      </c>
      <c r="O32" t="s" s="65">
        <v>82</v>
      </c>
      <c r="P32" t="s" s="65">
        <f>IF(R32&gt;0,"raised","paid")</f>
        <v>83</v>
      </c>
      <c r="Q32" t="s" s="65">
        <v>78</v>
      </c>
      <c r="R32" s="18">
        <f>AVERAGE(C15:C19)</f>
        <v>-8.7056</v>
      </c>
      <c r="S32" t="s" s="65">
        <f>S31</f>
        <v>74</v>
      </c>
      <c r="T32" t="s" s="65">
        <v>79</v>
      </c>
      <c r="U32" s="16">
        <f>R32/N29</f>
        <v>-0.0374482711663482</v>
      </c>
      <c r="V32" t="s" s="65">
        <v>80</v>
      </c>
      <c r="W32" s="24"/>
    </row>
    <row r="33" ht="44.05" customHeight="1">
      <c r="L33" s="33"/>
      <c r="M33" t="s" s="64">
        <v>84</v>
      </c>
      <c r="N33" t="s" s="65">
        <v>85</v>
      </c>
      <c r="O33" s="18">
        <f>MAX(F8:F20)</f>
        <v>244.6</v>
      </c>
      <c r="P33" t="s" s="65">
        <f>S32</f>
        <v>74</v>
      </c>
      <c r="Q33" t="s" s="65">
        <v>86</v>
      </c>
      <c r="R33" s="22">
        <f>$B17</f>
        <v>2019</v>
      </c>
      <c r="S33" s="24"/>
      <c r="T33" s="24"/>
      <c r="U33" s="24"/>
      <c r="V33" s="24"/>
      <c r="W33" s="24"/>
    </row>
    <row r="34" ht="32.05" customHeight="1">
      <c r="L34" s="33"/>
      <c r="M34" t="s" s="64">
        <v>87</v>
      </c>
      <c r="N34" t="s" s="65">
        <f>N32</f>
        <v>77</v>
      </c>
      <c r="O34" t="s" s="65">
        <v>88</v>
      </c>
      <c r="P34" t="s" s="65">
        <v>89</v>
      </c>
      <c r="Q34" t="s" s="65">
        <f>IF(S34&lt;O33,"down","up")</f>
        <v>90</v>
      </c>
      <c r="R34" t="s" s="65">
        <v>91</v>
      </c>
      <c r="S34" s="18">
        <f>F20</f>
        <v>101.172</v>
      </c>
      <c r="T34" t="s" s="65">
        <f>S32</f>
        <v>74</v>
      </c>
      <c r="U34" s="24"/>
      <c r="V34" s="24"/>
      <c r="W34" s="24"/>
    </row>
    <row r="35" ht="32.05" customHeight="1">
      <c r="L35" s="33"/>
      <c r="M35" t="s" s="64">
        <v>54</v>
      </c>
      <c r="N35" s="18">
        <f>S39</f>
        <v>161</v>
      </c>
      <c r="O35" t="s" s="65">
        <f>T34</f>
        <v>74</v>
      </c>
      <c r="P35" t="s" s="65">
        <f>IF(N35&gt;0,"raised","paid")</f>
        <v>75</v>
      </c>
      <c r="Q35" s="24"/>
      <c r="R35" s="24"/>
      <c r="S35" s="24"/>
      <c r="T35" s="24"/>
      <c r="U35" s="24"/>
      <c r="V35" s="24"/>
      <c r="W35" s="24"/>
    </row>
    <row r="36" ht="32.05" customHeight="1">
      <c r="L36" s="33"/>
      <c r="M36" t="s" s="64">
        <f>M31</f>
        <v>62</v>
      </c>
      <c r="N36" t="s" s="65">
        <v>76</v>
      </c>
      <c r="O36" t="s" s="65">
        <f>IF(R36&gt;0,"raised","paid")</f>
        <v>75</v>
      </c>
      <c r="P36" t="s" s="65">
        <v>92</v>
      </c>
      <c r="Q36" t="s" s="65">
        <f>Q31</f>
        <v>78</v>
      </c>
      <c r="R36" s="18">
        <f>AVERAGE(D8:D19)</f>
        <v>13.4166666666667</v>
      </c>
      <c r="S36" t="s" s="65">
        <f>S31</f>
        <v>74</v>
      </c>
      <c r="T36" t="s" s="65">
        <f>T31</f>
        <v>79</v>
      </c>
      <c r="U36" s="16">
        <f>R36/N29</f>
        <v>0.0577135374335875</v>
      </c>
      <c r="V36" t="s" s="65">
        <f>V31</f>
        <v>80</v>
      </c>
      <c r="W36" s="24"/>
    </row>
    <row r="37" ht="32.05" customHeight="1">
      <c r="L37" s="33"/>
      <c r="M37" t="s" s="64">
        <v>81</v>
      </c>
      <c r="N37" t="s" s="65">
        <f>P36</f>
        <v>92</v>
      </c>
      <c r="O37" t="s" s="65">
        <v>93</v>
      </c>
      <c r="P37" t="s" s="65">
        <f>IF(R37&gt;0,"raised","paid")</f>
        <v>83</v>
      </c>
      <c r="Q37" t="s" s="65">
        <v>78</v>
      </c>
      <c r="R37" s="18">
        <f>AVERAGE(D15:D19)</f>
        <v>0</v>
      </c>
      <c r="S37" t="s" s="65">
        <f>S36</f>
        <v>74</v>
      </c>
      <c r="T37" t="s" s="65">
        <v>79</v>
      </c>
      <c r="U37" s="16">
        <f>R37/N29</f>
        <v>0</v>
      </c>
      <c r="V37" t="s" s="65">
        <f>V32</f>
        <v>80</v>
      </c>
      <c r="W37" s="24"/>
    </row>
    <row r="38" ht="44.05" customHeight="1">
      <c r="L38" s="33"/>
      <c r="M38" t="s" s="64">
        <v>94</v>
      </c>
      <c r="N38" t="s" s="65">
        <v>85</v>
      </c>
      <c r="O38" s="18">
        <f>MAX(G7:G20)</f>
        <v>161</v>
      </c>
      <c r="P38" t="s" s="65">
        <f>S37</f>
        <v>74</v>
      </c>
      <c r="Q38" t="s" s="65">
        <v>86</v>
      </c>
      <c r="R38" s="22">
        <f>$B10</f>
        <v>2012</v>
      </c>
      <c r="S38" s="24"/>
      <c r="T38" s="24"/>
      <c r="U38" s="24"/>
      <c r="V38" s="24"/>
      <c r="W38" s="24"/>
    </row>
    <row r="39" ht="32.05" customHeight="1">
      <c r="L39" s="33"/>
      <c r="M39" t="s" s="64">
        <v>87</v>
      </c>
      <c r="N39" t="s" s="65">
        <f>N37</f>
        <v>92</v>
      </c>
      <c r="O39" t="s" s="65">
        <v>88</v>
      </c>
      <c r="P39" t="s" s="65">
        <v>95</v>
      </c>
      <c r="Q39" t="s" s="65">
        <f>IF(S39&lt;O38,"down","up")</f>
        <v>96</v>
      </c>
      <c r="R39" t="s" s="65">
        <v>91</v>
      </c>
      <c r="S39" s="18">
        <f>G20</f>
        <v>161</v>
      </c>
      <c r="T39" t="s" s="65">
        <f>S37</f>
        <v>74</v>
      </c>
      <c r="U39" s="24"/>
      <c r="V39" s="24"/>
      <c r="W39" s="24"/>
    </row>
    <row r="40" ht="32.05" customHeight="1">
      <c r="L40" s="33"/>
      <c r="M40" t="s" s="64">
        <v>97</v>
      </c>
      <c r="N40" s="18">
        <f>S44</f>
        <v>262.172</v>
      </c>
      <c r="O40" t="s" s="65">
        <f>T39</f>
        <v>74</v>
      </c>
      <c r="P40" t="s" s="65">
        <f>IF(N40&gt;0,"raised","paid")</f>
        <v>75</v>
      </c>
      <c r="Q40" s="24"/>
      <c r="R40" s="24"/>
      <c r="S40" s="24"/>
      <c r="T40" s="24"/>
      <c r="U40" s="24"/>
      <c r="V40" s="24"/>
      <c r="W40" s="24"/>
    </row>
    <row r="41" ht="32.05" customHeight="1">
      <c r="L41" s="33"/>
      <c r="M41" t="s" s="64">
        <f>M36</f>
        <v>62</v>
      </c>
      <c r="N41" t="s" s="65">
        <v>76</v>
      </c>
      <c r="O41" t="s" s="65">
        <f>IF(R41&gt;0,"raised","paid")</f>
        <v>75</v>
      </c>
      <c r="P41" t="s" s="65">
        <v>98</v>
      </c>
      <c r="Q41" t="s" s="65">
        <f>Q36</f>
        <v>78</v>
      </c>
      <c r="R41" s="18">
        <f>AVERAGE(E8:E19)</f>
        <v>20.3393333333333</v>
      </c>
      <c r="S41" t="s" s="65">
        <f>S36</f>
        <v>74</v>
      </c>
      <c r="T41" t="s" s="65">
        <f>T36</f>
        <v>79</v>
      </c>
      <c r="U41" s="16">
        <f>R41/N29</f>
        <v>0.0874922888726119</v>
      </c>
      <c r="V41" t="s" s="65">
        <f>V36</f>
        <v>80</v>
      </c>
      <c r="W41" s="24"/>
    </row>
    <row r="42" ht="32.05" customHeight="1">
      <c r="L42" s="33"/>
      <c r="M42" t="s" s="64">
        <v>81</v>
      </c>
      <c r="N42" t="s" s="65">
        <f>P41</f>
        <v>98</v>
      </c>
      <c r="O42" t="s" s="65">
        <v>93</v>
      </c>
      <c r="P42" t="s" s="65">
        <f>IF(R42&gt;0,"raised","paid")</f>
        <v>83</v>
      </c>
      <c r="Q42" t="s" s="65">
        <v>78</v>
      </c>
      <c r="R42" s="18">
        <f>AVERAGE(E15:E19)</f>
        <v>-8.7056</v>
      </c>
      <c r="S42" t="s" s="65">
        <f>S41</f>
        <v>74</v>
      </c>
      <c r="T42" t="s" s="65">
        <v>79</v>
      </c>
      <c r="U42" s="16">
        <f>R42/N29</f>
        <v>-0.0374482711663482</v>
      </c>
      <c r="V42" t="s" s="65">
        <f>V37</f>
        <v>80</v>
      </c>
      <c r="W42" s="24"/>
    </row>
    <row r="43" ht="44.05" customHeight="1">
      <c r="L43" s="33"/>
      <c r="M43" t="s" s="64">
        <v>99</v>
      </c>
      <c r="N43" t="s" s="65">
        <v>85</v>
      </c>
      <c r="O43" s="18">
        <f>MAX(H8:H20)</f>
        <v>405.6</v>
      </c>
      <c r="P43" t="s" s="65">
        <f>S42</f>
        <v>74</v>
      </c>
      <c r="Q43" t="s" s="65">
        <v>86</v>
      </c>
      <c r="R43" s="22">
        <f>$B17</f>
        <v>2019</v>
      </c>
      <c r="S43" s="24"/>
      <c r="T43" s="24"/>
      <c r="U43" s="24"/>
      <c r="V43" s="24"/>
      <c r="W43" s="24"/>
    </row>
    <row r="44" ht="32.05" customHeight="1">
      <c r="L44" s="33"/>
      <c r="M44" t="s" s="64">
        <v>87</v>
      </c>
      <c r="N44" t="s" s="65">
        <f>N42</f>
        <v>98</v>
      </c>
      <c r="O44" t="s" s="65">
        <v>88</v>
      </c>
      <c r="P44" t="s" s="65">
        <v>95</v>
      </c>
      <c r="Q44" t="s" s="65">
        <f>IF(S44&lt;O43,"down","up")</f>
        <v>90</v>
      </c>
      <c r="R44" t="s" s="65">
        <v>91</v>
      </c>
      <c r="S44" s="22">
        <f>H20</f>
        <v>262.172</v>
      </c>
      <c r="T44" t="s" s="65">
        <f>S42</f>
        <v>74</v>
      </c>
      <c r="U44" s="16">
        <f>K19/(N24/1000000000)</f>
        <v>-0.447902934539243</v>
      </c>
      <c r="V44" t="s" s="65">
        <v>69</v>
      </c>
      <c r="W44" t="s" s="65">
        <v>70</v>
      </c>
    </row>
  </sheetData>
  <mergeCells count="2">
    <mergeCell ref="B1:K1"/>
    <mergeCell ref="L22:W2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