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<sst xmlns="http://schemas.openxmlformats.org/spreadsheetml/2006/main" uniqueCount="57">
  <si>
    <t>Financial model</t>
  </si>
  <si>
    <t>$m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</si>
  <si>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</si>
  <si>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</si>
  <si>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</si>
  <si>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</si>
  <si>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</si>
  <si>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</si>
  <si>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</si>
  <si>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</si>
  <si>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</si>
  <si>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</si>
  <si>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</si>
  <si>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</si>
  <si>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</si>
  <si>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</si>
  <si>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</si>
  <si>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</si>
  <si>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</si>
  <si>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</si>
  <si>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</si>
  <si>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</si>
  <si>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</si>
  <si>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</si>
  <si>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</si>
  <si>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</si>
  <si>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</si>
  <si>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</si>
  <si>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</si>
  <si>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</si>
  <si>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</si>
  <si>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 xml:space="preserve">P/assets </t>
  </si>
  <si>
    <t>Yield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</si>
  <si>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</si>
  <si>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</si>
  <si>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</si>
  <si>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</si>
  <si>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</si>
  <si>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</si>
  <si>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</si>
  <si>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</si>
  <si>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>Sales forecasts</t>
  </si>
  <si>
    <t>Non cash costs</t>
  </si>
  <si>
    <t>Forex loss</t>
  </si>
  <si>
    <t>Profit</t>
  </si>
  <si>
    <t xml:space="preserve">Sales growth </t>
  </si>
  <si>
    <t>Cashflow</t>
  </si>
  <si>
    <t>Receipts</t>
  </si>
  <si>
    <t>Leases</t>
  </si>
  <si>
    <t xml:space="preserve">Free cashflow </t>
  </si>
  <si>
    <t>Cash</t>
  </si>
  <si>
    <t>Assets</t>
  </si>
  <si>
    <t>Check</t>
  </si>
  <si>
    <t>Share price</t>
  </si>
  <si>
    <t>POWR</t>
  </si>
  <si>
    <t>Target</t>
  </si>
  <si>
    <t>Previous 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</si>
</sst>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"/>
    <numFmt numFmtId="60" formatCode="#,##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Helvetica Neue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horizontal="right" vertical="top" wrapText="1"/>
    </xf>
    <xf numFmtId="3" fontId="3" borderId="4" applyNumberFormat="1" applyFont="1" applyFill="0" applyBorder="1" applyAlignment="1" applyProtection="0">
      <alignment horizontal="right" vertical="top" wrapText="1"/>
    </xf>
    <xf numFmtId="3" fontId="0" borderId="6" applyNumberFormat="1" applyFont="1" applyFill="0" applyBorder="1" applyAlignment="1" applyProtection="0">
      <alignment horizontal="right" vertical="top" wrapText="1"/>
    </xf>
    <xf numFmtId="3" fontId="3" borderId="7" applyNumberFormat="1" applyFont="1" applyFill="0" applyBorder="1" applyAlignment="1" applyProtection="0">
      <alignment horizontal="right" vertical="top" wrapText="1"/>
    </xf>
    <xf numFmtId="3" fontId="4" borderId="6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523583</xdr:colOff>
      <xdr:row>2</xdr:row>
      <xdr:rowOff>28901</xdr:rowOff>
    </xdr:from>
    <xdr:to>
      <xdr:col>14</xdr:col>
      <xdr:colOff>83991</xdr:colOff>
      <xdr:row>50</xdr:row>
      <xdr:rowOff>114289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320883" y="565476"/>
          <a:ext cx="9517209" cy="123110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74219" style="1" customWidth="1"/>
    <col min="2" max="2" width="14.7656" style="1" customWidth="1"/>
    <col min="3" max="6" width="7.85938" style="1" customWidth="1"/>
    <col min="7" max="16384" width="16.3516" style="1" customWidth="1"/>
  </cols>
  <sheetData>
    <row r="1" ht="14.6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AVERAGE('Sales'!H25:H28)</f>
        <v>0.00563576089691473</v>
      </c>
      <c r="D4" s="8"/>
      <c r="E4" s="8"/>
      <c r="F4" s="9">
        <f>AVERAGE(C5:F5)</f>
        <v>0.0275</v>
      </c>
    </row>
    <row r="5" ht="20.05" customHeight="1">
      <c r="B5" t="s" s="10">
        <v>4</v>
      </c>
      <c r="C5" s="11">
        <v>0.05</v>
      </c>
      <c r="D5" s="12">
        <v>0.02</v>
      </c>
      <c r="E5" s="12">
        <v>0.05</v>
      </c>
      <c r="F5" s="12">
        <v>-0.01</v>
      </c>
    </row>
    <row r="6" ht="20.05" customHeight="1">
      <c r="B6" t="s" s="10">
        <v>5</v>
      </c>
      <c r="C6" s="13">
        <f>'Sales'!C28*(1+C5)</f>
        <v>138.6</v>
      </c>
      <c r="D6" s="14">
        <f>C6*(1+D5)</f>
        <v>141.372</v>
      </c>
      <c r="E6" s="14">
        <f>D6*(1+E5)</f>
        <v>148.4406</v>
      </c>
      <c r="F6" s="14">
        <f>E6*(1+F5)</f>
        <v>146.956194</v>
      </c>
    </row>
    <row r="7" ht="20.05" customHeight="1">
      <c r="B7" t="s" s="10">
        <v>6</v>
      </c>
      <c r="C7" s="11">
        <f>AVERAGE('Sales'!I27)</f>
        <v>-0.701981707317073</v>
      </c>
      <c r="D7" s="12">
        <f>C7</f>
        <v>-0.701981707317073</v>
      </c>
      <c r="E7" s="12">
        <f>D7</f>
        <v>-0.701981707317073</v>
      </c>
      <c r="F7" s="12">
        <f>E7</f>
        <v>-0.701981707317073</v>
      </c>
    </row>
    <row r="8" ht="20.05" customHeight="1">
      <c r="B8" t="s" s="10">
        <v>7</v>
      </c>
      <c r="C8" s="15">
        <f>C6*C7</f>
        <v>-97.2946646341463</v>
      </c>
      <c r="D8" s="16">
        <f>D6*D7</f>
        <v>-99.2405579268292</v>
      </c>
      <c r="E8" s="16">
        <f>E6*E7</f>
        <v>-104.202585823171</v>
      </c>
      <c r="F8" s="16">
        <f>F6*F7</f>
        <v>-103.160559964939</v>
      </c>
    </row>
    <row r="9" ht="20.05" customHeight="1">
      <c r="B9" t="s" s="10">
        <v>8</v>
      </c>
      <c r="C9" s="15">
        <f>C6+C8</f>
        <v>41.3053353658537</v>
      </c>
      <c r="D9" s="16">
        <f>D6+D8</f>
        <v>42.1314420731708</v>
      </c>
      <c r="E9" s="16">
        <f>E6+E8</f>
        <v>44.238014176829</v>
      </c>
      <c r="F9" s="16">
        <f>F6+F8</f>
        <v>43.795634035061</v>
      </c>
    </row>
    <row r="10" ht="20.05" customHeight="1">
      <c r="B10" t="s" s="10">
        <v>9</v>
      </c>
      <c r="C10" s="15">
        <f>AVERAGE('Cashflow '!E26:E28)</f>
        <v>-29.4</v>
      </c>
      <c r="D10" s="16">
        <f>C10</f>
        <v>-29.4</v>
      </c>
      <c r="E10" s="16">
        <f>D10</f>
        <v>-29.4</v>
      </c>
      <c r="F10" s="16">
        <f>E10</f>
        <v>-29.4</v>
      </c>
    </row>
    <row r="11" ht="20.05" customHeight="1">
      <c r="B11" t="s" s="10">
        <v>10</v>
      </c>
      <c r="C11" s="15">
        <f>C12+C15+C13</f>
        <v>-11.9053353658537</v>
      </c>
      <c r="D11" s="16">
        <f>D12+D15+D13</f>
        <v>-12.7314420731708</v>
      </c>
      <c r="E11" s="16">
        <f>E12+E15+E13</f>
        <v>-14.838014176829</v>
      </c>
      <c r="F11" s="16">
        <f>F12+F15+F13</f>
        <v>-14.395634035061</v>
      </c>
    </row>
    <row r="12" ht="20.05" customHeight="1">
      <c r="B12" t="s" s="10">
        <v>11</v>
      </c>
      <c r="C12" s="15">
        <f>-'Balance sheet'!G28/20</f>
        <v>-32.3</v>
      </c>
      <c r="D12" s="16">
        <f>-C27/20</f>
        <v>-30.685</v>
      </c>
      <c r="E12" s="16">
        <f>-D27/20</f>
        <v>-29.15075</v>
      </c>
      <c r="F12" s="16">
        <f>-E27/20</f>
        <v>-27.6932125</v>
      </c>
    </row>
    <row r="13" ht="20.05" customHeight="1">
      <c r="B13" t="s" s="10">
        <v>12</v>
      </c>
      <c r="C13" s="15">
        <f>-MIN(0,C16)</f>
        <v>25.855731707317</v>
      </c>
      <c r="D13" s="16">
        <f>-MIN(C28,D16)</f>
        <v>23.5798463414634</v>
      </c>
      <c r="E13" s="16">
        <f>-MIN(D28,E16)</f>
        <v>20.3603386585368</v>
      </c>
      <c r="F13" s="16">
        <f>-MIN(E28,F16)</f>
        <v>19.2567052719512</v>
      </c>
    </row>
    <row r="14" ht="20.05" customHeight="1">
      <c r="B14" t="s" s="10">
        <v>13</v>
      </c>
      <c r="C14" s="17">
        <v>0.2</v>
      </c>
      <c r="D14" s="16"/>
      <c r="E14" s="16"/>
      <c r="F14" s="16"/>
    </row>
    <row r="15" ht="20.05" customHeight="1">
      <c r="B15" t="s" s="10">
        <v>14</v>
      </c>
      <c r="C15" s="15">
        <f>IF(C22&gt;0,-C22*$C$14,0)</f>
        <v>-5.46106707317074</v>
      </c>
      <c r="D15" s="16">
        <f>IF(D22&gt;0,-D22*$C$14,0)</f>
        <v>-5.62628841463416</v>
      </c>
      <c r="E15" s="16">
        <f>IF(E22&gt;0,-E22*$C$14,0)</f>
        <v>-6.0476028353658</v>
      </c>
      <c r="F15" s="16">
        <f>IF(F22&gt;0,-F22*$C$14,0)</f>
        <v>-5.9591268070122</v>
      </c>
    </row>
    <row r="16" ht="20.05" customHeight="1">
      <c r="B16" t="s" s="10">
        <v>15</v>
      </c>
      <c r="C16" s="15">
        <f>C9+C10+C12+C15</f>
        <v>-25.855731707317</v>
      </c>
      <c r="D16" s="16">
        <f>D9+D10+D12+D15</f>
        <v>-23.5798463414634</v>
      </c>
      <c r="E16" s="16">
        <f>E9+E10+E12+E15</f>
        <v>-20.3603386585368</v>
      </c>
      <c r="F16" s="16">
        <f>F9+F10+F12+F15</f>
        <v>-19.2567052719512</v>
      </c>
    </row>
    <row r="17" ht="20.05" customHeight="1">
      <c r="B17" t="s" s="10">
        <v>16</v>
      </c>
      <c r="C17" s="15">
        <f>'Balance sheet'!C28</f>
        <v>251.4</v>
      </c>
      <c r="D17" s="16">
        <f>C19</f>
        <v>251.4</v>
      </c>
      <c r="E17" s="16">
        <f>D19</f>
        <v>251.4</v>
      </c>
      <c r="F17" s="16">
        <f>E19</f>
        <v>251.4</v>
      </c>
    </row>
    <row r="18" ht="20.05" customHeight="1">
      <c r="B18" t="s" s="10">
        <v>17</v>
      </c>
      <c r="C18" s="15">
        <f>C9+C10+C11</f>
        <v>0</v>
      </c>
      <c r="D18" s="16">
        <f>D9+D10+D11</f>
        <v>0</v>
      </c>
      <c r="E18" s="16">
        <f>E9+E10+E11</f>
        <v>0</v>
      </c>
      <c r="F18" s="16">
        <f>F9+F10+F11</f>
        <v>0</v>
      </c>
    </row>
    <row r="19" ht="20.05" customHeight="1">
      <c r="B19" t="s" s="10">
        <v>18</v>
      </c>
      <c r="C19" s="15">
        <f>C17+C18</f>
        <v>251.4</v>
      </c>
      <c r="D19" s="16">
        <f>D17+D18</f>
        <v>251.4</v>
      </c>
      <c r="E19" s="16">
        <f>E17+E18</f>
        <v>251.4</v>
      </c>
      <c r="F19" s="16">
        <f>F17+F18</f>
        <v>251.4</v>
      </c>
    </row>
    <row r="20" ht="20.05" customHeight="1">
      <c r="B20" t="s" s="18">
        <v>19</v>
      </c>
      <c r="C20" s="15"/>
      <c r="D20" s="16"/>
      <c r="E20" s="16"/>
      <c r="F20" s="19"/>
    </row>
    <row r="21" ht="20.05" customHeight="1">
      <c r="B21" t="s" s="10">
        <v>20</v>
      </c>
      <c r="C21" s="15">
        <f>-AVERAGE('Sales'!E28)</f>
        <v>-14</v>
      </c>
      <c r="D21" s="16">
        <f>C21</f>
        <v>-14</v>
      </c>
      <c r="E21" s="16">
        <f>D21</f>
        <v>-14</v>
      </c>
      <c r="F21" s="16">
        <f>E21</f>
        <v>-14</v>
      </c>
    </row>
    <row r="22" ht="20.05" customHeight="1">
      <c r="B22" t="s" s="10">
        <v>19</v>
      </c>
      <c r="C22" s="15">
        <f>C6+C8+C21</f>
        <v>27.3053353658537</v>
      </c>
      <c r="D22" s="16">
        <f>D6+D8+D21</f>
        <v>28.1314420731708</v>
      </c>
      <c r="E22" s="16">
        <f>E6+E8+E21</f>
        <v>30.238014176829</v>
      </c>
      <c r="F22" s="16">
        <f>F6+F8+F21</f>
        <v>29.795634035061</v>
      </c>
    </row>
    <row r="23" ht="20.05" customHeight="1">
      <c r="B23" t="s" s="10">
        <v>21</v>
      </c>
      <c r="C23" s="15"/>
      <c r="D23" s="16"/>
      <c r="E23" s="16"/>
      <c r="F23" s="16"/>
    </row>
    <row r="24" ht="20.05" customHeight="1">
      <c r="B24" t="s" s="10">
        <v>22</v>
      </c>
      <c r="C24" s="15">
        <f>'Balance sheet'!E28+'Balance sheet'!F28-C10</f>
        <v>2028</v>
      </c>
      <c r="D24" s="16">
        <f>C24-D10</f>
        <v>2057.4</v>
      </c>
      <c r="E24" s="16">
        <f>D24-E10</f>
        <v>2086.8</v>
      </c>
      <c r="F24" s="16">
        <f>E24-F10</f>
        <v>2116.2</v>
      </c>
    </row>
    <row r="25" ht="20.05" customHeight="1">
      <c r="B25" t="s" s="10">
        <v>23</v>
      </c>
      <c r="C25" s="15">
        <f>'Balance sheet'!F28-C21</f>
        <v>897</v>
      </c>
      <c r="D25" s="16">
        <f>C25-D21</f>
        <v>911</v>
      </c>
      <c r="E25" s="16">
        <f>D25-E21</f>
        <v>925</v>
      </c>
      <c r="F25" s="16">
        <f>E25-F21</f>
        <v>939</v>
      </c>
    </row>
    <row r="26" ht="20.05" customHeight="1">
      <c r="B26" t="s" s="10">
        <v>24</v>
      </c>
      <c r="C26" s="15">
        <f>C24-C25</f>
        <v>1131</v>
      </c>
      <c r="D26" s="16">
        <f>D24-D25</f>
        <v>1146.4</v>
      </c>
      <c r="E26" s="16">
        <f>E24-E25</f>
        <v>1161.8</v>
      </c>
      <c r="F26" s="16">
        <f>F24-F25</f>
        <v>1177.2</v>
      </c>
    </row>
    <row r="27" ht="20.05" customHeight="1">
      <c r="B27" t="s" s="10">
        <v>11</v>
      </c>
      <c r="C27" s="15">
        <f>'Balance sheet'!G28+C12</f>
        <v>613.7</v>
      </c>
      <c r="D27" s="16">
        <f>C27+D12</f>
        <v>583.015</v>
      </c>
      <c r="E27" s="16">
        <f>D27+E12</f>
        <v>553.86425</v>
      </c>
      <c r="F27" s="16">
        <f>E27+F12</f>
        <v>526.1710375</v>
      </c>
    </row>
    <row r="28" ht="20.05" customHeight="1">
      <c r="B28" t="s" s="10">
        <v>12</v>
      </c>
      <c r="C28" s="15">
        <f>C13</f>
        <v>25.855731707317</v>
      </c>
      <c r="D28" s="16">
        <f>C28+D13</f>
        <v>49.4355780487804</v>
      </c>
      <c r="E28" s="16">
        <f>D28+E13</f>
        <v>69.7959167073172</v>
      </c>
      <c r="F28" s="16">
        <f>E28+F13</f>
        <v>89.05262197926839</v>
      </c>
    </row>
    <row r="29" ht="20.05" customHeight="1">
      <c r="B29" t="s" s="10">
        <v>14</v>
      </c>
      <c r="C29" s="15">
        <f>'Balance sheet'!H28+C22+C15</f>
        <v>742.844268292683</v>
      </c>
      <c r="D29" s="16">
        <f>C29+D22+D15</f>
        <v>765.3494219512201</v>
      </c>
      <c r="E29" s="16">
        <f>D29+E22+E15</f>
        <v>789.5398332926831</v>
      </c>
      <c r="F29" s="16">
        <f>E29+F22+F15</f>
        <v>813.376340520732</v>
      </c>
    </row>
    <row r="30" ht="20.05" customHeight="1">
      <c r="B30" t="s" s="10">
        <v>25</v>
      </c>
      <c r="C30" s="15">
        <f>C27+C28+C29-C19-C26</f>
        <v>0</v>
      </c>
      <c r="D30" s="16">
        <f>D27+D28+D29-D19-D26</f>
        <v>4e-13</v>
      </c>
      <c r="E30" s="16">
        <f>E27+E28+E29-E19-E26</f>
        <v>2e-13</v>
      </c>
      <c r="F30" s="16">
        <f>F27+F28+F29-F19-F26</f>
        <v>4e-13</v>
      </c>
    </row>
    <row r="31" ht="20.05" customHeight="1">
      <c r="B31" t="s" s="10">
        <v>26</v>
      </c>
      <c r="C31" s="15">
        <f>C19-C27-C28</f>
        <v>-388.155731707317</v>
      </c>
      <c r="D31" s="16">
        <f>D19-D27-D28</f>
        <v>-381.050578048780</v>
      </c>
      <c r="E31" s="16">
        <f>E19-E27-E28</f>
        <v>-372.260166707317</v>
      </c>
      <c r="F31" s="16">
        <f>F19-F27-F28</f>
        <v>-363.823659479268</v>
      </c>
    </row>
    <row r="32" ht="20.05" customHeight="1">
      <c r="B32" t="s" s="10">
        <v>27</v>
      </c>
      <c r="C32" s="15"/>
      <c r="D32" s="16"/>
      <c r="E32" s="16"/>
      <c r="F32" s="16"/>
    </row>
    <row r="33" ht="20.05" customHeight="1">
      <c r="B33" t="s" s="10">
        <v>28</v>
      </c>
      <c r="C33" s="15"/>
      <c r="D33" s="16"/>
      <c r="E33" s="16"/>
      <c r="F33" s="16">
        <v>14</v>
      </c>
    </row>
    <row r="34" ht="20.05" customHeight="1">
      <c r="B34" t="s" s="10">
        <v>29</v>
      </c>
      <c r="C34" s="15">
        <f>'Cashflow '!M28-C11</f>
        <v>205.485335365854</v>
      </c>
      <c r="D34" s="16">
        <f>C34-D11</f>
        <v>218.216777439025</v>
      </c>
      <c r="E34" s="16">
        <f>D34-E11</f>
        <v>233.054791615854</v>
      </c>
      <c r="F34" s="16">
        <f>E34-F11</f>
        <v>247.450425650915</v>
      </c>
    </row>
    <row r="35" ht="20.05" customHeight="1">
      <c r="B35" t="s" s="10">
        <v>30</v>
      </c>
      <c r="C35" s="15"/>
      <c r="D35" s="16"/>
      <c r="E35" s="16"/>
      <c r="F35" s="16">
        <v>10881300692992</v>
      </c>
    </row>
    <row r="36" ht="20.05" customHeight="1">
      <c r="B36" t="s" s="10">
        <v>30</v>
      </c>
      <c r="C36" s="15"/>
      <c r="D36" s="16"/>
      <c r="E36" s="16"/>
      <c r="F36" s="16">
        <f>(F35/1000000000)/F33</f>
        <v>777.235763785143</v>
      </c>
    </row>
    <row r="37" ht="20.05" customHeight="1">
      <c r="B37" t="s" s="10">
        <v>31</v>
      </c>
      <c r="C37" s="15"/>
      <c r="D37" s="16"/>
      <c r="E37" s="16"/>
      <c r="F37" s="20">
        <f>F36/(F19+F26)</f>
        <v>0.544054153566529</v>
      </c>
    </row>
    <row r="38" ht="20.05" customHeight="1">
      <c r="B38" t="s" s="10">
        <v>32</v>
      </c>
      <c r="C38" s="15"/>
      <c r="D38" s="16"/>
      <c r="E38" s="16"/>
      <c r="F38" s="21">
        <f>-(C15+D15+E15+F15)/F36</f>
        <v>0.0297131014889415</v>
      </c>
    </row>
    <row r="39" ht="20.05" customHeight="1">
      <c r="B39" t="s" s="10">
        <v>3</v>
      </c>
      <c r="C39" s="15"/>
      <c r="D39" s="16"/>
      <c r="E39" s="16"/>
      <c r="F39" s="16">
        <f>SUM(C9:F10)</f>
        <v>53.8704256509145</v>
      </c>
    </row>
    <row r="40" ht="20.05" customHeight="1">
      <c r="B40" t="s" s="10">
        <v>33</v>
      </c>
      <c r="C40" s="15"/>
      <c r="D40" s="16"/>
      <c r="E40" s="16"/>
      <c r="F40" s="16">
        <f>'Balance sheet'!E28/F39</f>
        <v>20.7089509043273</v>
      </c>
    </row>
    <row r="41" ht="20.05" customHeight="1">
      <c r="B41" t="s" s="10">
        <v>27</v>
      </c>
      <c r="C41" s="15"/>
      <c r="D41" s="16"/>
      <c r="E41" s="16"/>
      <c r="F41" s="16">
        <f>F36/F39</f>
        <v>14.4278749312601</v>
      </c>
    </row>
    <row r="42" ht="20.05" customHeight="1">
      <c r="B42" t="s" s="10">
        <v>34</v>
      </c>
      <c r="C42" s="15"/>
      <c r="D42" s="16"/>
      <c r="E42" s="16"/>
      <c r="F42" s="16">
        <v>17</v>
      </c>
    </row>
    <row r="43" ht="20.05" customHeight="1">
      <c r="B43" t="s" s="10">
        <v>35</v>
      </c>
      <c r="C43" s="15"/>
      <c r="D43" s="16"/>
      <c r="E43" s="16"/>
      <c r="F43" s="16">
        <f>F39*F42</f>
        <v>915.7972360655471</v>
      </c>
    </row>
    <row r="44" ht="20.05" customHeight="1">
      <c r="B44" t="s" s="10">
        <v>36</v>
      </c>
      <c r="C44" s="15"/>
      <c r="D44" s="16"/>
      <c r="E44" s="16"/>
      <c r="F44" s="16">
        <f>10090/F46</f>
        <v>14.6231884057971</v>
      </c>
    </row>
    <row r="45" ht="20.05" customHeight="1">
      <c r="B45" t="s" s="10">
        <v>37</v>
      </c>
      <c r="C45" s="15"/>
      <c r="D45" s="16"/>
      <c r="E45" s="16"/>
      <c r="F45" s="16">
        <f>(F43/F44)*F33</f>
        <v>876.769207174746</v>
      </c>
    </row>
    <row r="46" ht="20.05" customHeight="1">
      <c r="B46" t="s" s="10">
        <v>38</v>
      </c>
      <c r="C46" s="15"/>
      <c r="D46" s="16"/>
      <c r="E46" s="16"/>
      <c r="F46" s="16">
        <v>690</v>
      </c>
    </row>
    <row r="47" ht="20.05" customHeight="1">
      <c r="B47" t="s" s="10">
        <v>39</v>
      </c>
      <c r="C47" s="15"/>
      <c r="D47" s="16"/>
      <c r="E47" s="16"/>
      <c r="F47" s="21">
        <f>F45/F46-1</f>
        <v>0.270680010398183</v>
      </c>
    </row>
    <row r="48" ht="20.05" customHeight="1">
      <c r="B48" t="s" s="10">
        <v>40</v>
      </c>
      <c r="C48" s="15"/>
      <c r="D48" s="16"/>
      <c r="E48" s="16"/>
      <c r="F48" s="21">
        <f>'Sales'!C28/'Sales'!C24-1</f>
        <v>0.021671826625387</v>
      </c>
    </row>
    <row r="49" ht="20.05" customHeight="1">
      <c r="B49" t="s" s="10">
        <v>41</v>
      </c>
      <c r="C49" s="15"/>
      <c r="D49" s="16"/>
      <c r="E49" s="16"/>
      <c r="F49" s="21">
        <f>'Sales'!F31/'Sales'!E31-1</f>
        <v>-0.0006864564007421149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59375" style="22" customWidth="1"/>
    <col min="2" max="11" width="9.67969" style="22" customWidth="1"/>
    <col min="12" max="16384" width="16.3516" style="22" customWidth="1"/>
  </cols>
  <sheetData>
    <row r="1" ht="6.1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34</v>
      </c>
      <c r="E3" t="s" s="5">
        <v>42</v>
      </c>
      <c r="F3" t="s" s="5">
        <v>43</v>
      </c>
      <c r="G3" t="s" s="5">
        <v>44</v>
      </c>
      <c r="H3" t="s" s="5">
        <v>45</v>
      </c>
      <c r="I3" t="s" s="5">
        <v>6</v>
      </c>
      <c r="J3" t="s" s="5">
        <v>6</v>
      </c>
      <c r="K3" t="s" s="5">
        <v>34</v>
      </c>
    </row>
    <row r="4" ht="20.25" customHeight="1">
      <c r="B4" s="23">
        <v>2016</v>
      </c>
      <c r="C4" s="24">
        <v>135.35</v>
      </c>
      <c r="D4" s="25"/>
      <c r="E4" s="25">
        <f>E5</f>
        <v>9.824999999999999</v>
      </c>
      <c r="F4" s="25"/>
      <c r="G4" s="25">
        <v>83.67</v>
      </c>
      <c r="H4" s="9"/>
      <c r="I4" s="9">
        <f>(E4+G4-C4)/C4</f>
        <v>-0.309235315847802</v>
      </c>
      <c r="J4" s="9"/>
      <c r="K4" s="9"/>
    </row>
    <row r="5" ht="20.05" customHeight="1">
      <c r="B5" s="26"/>
      <c r="C5" s="15">
        <f>274.66-C4</f>
        <v>139.31</v>
      </c>
      <c r="D5" s="16"/>
      <c r="E5" s="16">
        <f>E6</f>
        <v>9.824999999999999</v>
      </c>
      <c r="F5" s="16"/>
      <c r="G5" s="16">
        <f>106.5-G4</f>
        <v>22.83</v>
      </c>
      <c r="H5" s="12">
        <f>C5/C4-1</f>
        <v>0.0292574806058367</v>
      </c>
      <c r="I5" s="12">
        <f>(E5+G5-C5)/C5</f>
        <v>-0.765594716818606</v>
      </c>
      <c r="J5" s="12"/>
      <c r="K5" s="12"/>
    </row>
    <row r="6" ht="20.05" customHeight="1">
      <c r="B6" s="26"/>
      <c r="C6" s="15">
        <f>408-SUM(C4:C5)</f>
        <v>133.34</v>
      </c>
      <c r="D6" s="16"/>
      <c r="E6" s="16">
        <f>E7</f>
        <v>9.824999999999999</v>
      </c>
      <c r="F6" s="16"/>
      <c r="G6" s="16">
        <f>109.4-SUM(G4:G5)</f>
        <v>2.9</v>
      </c>
      <c r="H6" s="12">
        <f>C6/C5-1</f>
        <v>-0.0428540664704616</v>
      </c>
      <c r="I6" s="12">
        <f>(E6+G6-C6)/C6</f>
        <v>-0.904567271636418</v>
      </c>
      <c r="J6" s="12"/>
      <c r="K6" s="12"/>
    </row>
    <row r="7" ht="20.05" customHeight="1">
      <c r="B7" s="26"/>
      <c r="C7" s="15">
        <f>550.8-SUM(C4:C6)</f>
        <v>142.8</v>
      </c>
      <c r="D7" s="16"/>
      <c r="E7" s="16">
        <f>39.3/4</f>
        <v>9.824999999999999</v>
      </c>
      <c r="F7" s="16"/>
      <c r="G7" s="16">
        <f>103.84-SUM(G4:G6)</f>
        <v>-5.56</v>
      </c>
      <c r="H7" s="12">
        <f>C7/C6-1</f>
        <v>0.0709464526773661</v>
      </c>
      <c r="I7" s="12">
        <f>(E7+G7-C7)/C7</f>
        <v>-0.970133053221289</v>
      </c>
      <c r="J7" s="12"/>
      <c r="K7" s="12"/>
    </row>
    <row r="8" ht="20.05" customHeight="1">
      <c r="B8" s="27">
        <v>2017</v>
      </c>
      <c r="C8" s="15">
        <v>138.59</v>
      </c>
      <c r="D8" s="16"/>
      <c r="E8" s="16">
        <f>E9</f>
        <v>9.975</v>
      </c>
      <c r="F8" s="16"/>
      <c r="G8" s="16">
        <v>27.49</v>
      </c>
      <c r="H8" s="12">
        <f>C8/C7-1</f>
        <v>-0.0294817927170868</v>
      </c>
      <c r="I8" s="12">
        <f>(E8+G8-C8)/C8</f>
        <v>-0.7296702503788151</v>
      </c>
      <c r="J8" s="12"/>
      <c r="K8" s="12"/>
    </row>
    <row r="9" ht="20.05" customHeight="1">
      <c r="B9" s="26"/>
      <c r="C9" s="15">
        <f>281-C8</f>
        <v>142.41</v>
      </c>
      <c r="D9" s="16"/>
      <c r="E9" s="16">
        <f>E10</f>
        <v>9.975</v>
      </c>
      <c r="F9" s="16"/>
      <c r="G9" s="16">
        <f>56-G8</f>
        <v>28.51</v>
      </c>
      <c r="H9" s="12">
        <f>C9/C8-1</f>
        <v>0.0275633162565842</v>
      </c>
      <c r="I9" s="12">
        <f>(E9+G9-C9)/C9</f>
        <v>-0.729759146127379</v>
      </c>
      <c r="J9" s="12"/>
      <c r="K9" s="12"/>
    </row>
    <row r="10" ht="20.05" customHeight="1">
      <c r="B10" s="26"/>
      <c r="C10" s="15">
        <f>421-SUM(C8:C9)</f>
        <v>140</v>
      </c>
      <c r="D10" s="16"/>
      <c r="E10" s="16">
        <f>E11</f>
        <v>9.975</v>
      </c>
      <c r="F10" s="16"/>
      <c r="G10" s="16">
        <f>79-SUM(G8:G9)</f>
        <v>23</v>
      </c>
      <c r="H10" s="12">
        <f>C10/C9-1</f>
        <v>-0.0169229688926339</v>
      </c>
      <c r="I10" s="12">
        <f>(E10+G10-C10)/C10</f>
        <v>-0.764464285714286</v>
      </c>
      <c r="J10" s="12"/>
      <c r="K10" s="12"/>
    </row>
    <row r="11" ht="20.05" customHeight="1">
      <c r="B11" s="26"/>
      <c r="C11" s="15">
        <f>566-SUM(C8:C10)</f>
        <v>145</v>
      </c>
      <c r="D11" s="16"/>
      <c r="E11" s="16">
        <f>(0.2+39.7)/4</f>
        <v>9.975</v>
      </c>
      <c r="F11" s="16"/>
      <c r="G11" s="16">
        <f>107-SUM(G8:G10)</f>
        <v>28</v>
      </c>
      <c r="H11" s="12">
        <f>C11/C10-1</f>
        <v>0.0357142857142857</v>
      </c>
      <c r="I11" s="12">
        <f>(E11+G11-C11)/C11</f>
        <v>-0.7381034482758621</v>
      </c>
      <c r="J11" s="12"/>
      <c r="K11" s="12"/>
    </row>
    <row r="12" ht="20.05" customHeight="1">
      <c r="B12" s="27">
        <v>2018</v>
      </c>
      <c r="C12" s="15">
        <v>104</v>
      </c>
      <c r="D12" s="16"/>
      <c r="E12" s="16">
        <f>E13</f>
        <v>14.7</v>
      </c>
      <c r="F12" s="16"/>
      <c r="G12" s="16">
        <v>23</v>
      </c>
      <c r="H12" s="12">
        <f>C12/C11-1</f>
        <v>-0.282758620689655</v>
      </c>
      <c r="I12" s="12">
        <f>(E12+G12-C12)/C12</f>
        <v>-0.6375</v>
      </c>
      <c r="J12" s="12">
        <f>AVERAGE(I9:I12)</f>
        <v>-0.717456720029382</v>
      </c>
      <c r="K12" s="12"/>
    </row>
    <row r="13" ht="20.05" customHeight="1">
      <c r="B13" s="26"/>
      <c r="C13" s="15">
        <f>205-C12</f>
        <v>101</v>
      </c>
      <c r="D13" s="16"/>
      <c r="E13" s="16">
        <f>E14</f>
        <v>14.7</v>
      </c>
      <c r="F13" s="16"/>
      <c r="G13" s="16">
        <f>40-G12</f>
        <v>17</v>
      </c>
      <c r="H13" s="12">
        <f>C13/C12-1</f>
        <v>-0.0288461538461538</v>
      </c>
      <c r="I13" s="12">
        <f>(E13+G13-C13)/C13</f>
        <v>-0.686138613861386</v>
      </c>
      <c r="J13" s="12">
        <f>AVERAGE(I10:I13)</f>
        <v>-0.706551586962884</v>
      </c>
      <c r="K13" s="12"/>
    </row>
    <row r="14" ht="20.05" customHeight="1">
      <c r="B14" s="26"/>
      <c r="C14" s="15">
        <f>426-SUM(C12:C13)</f>
        <v>221</v>
      </c>
      <c r="D14" s="16"/>
      <c r="E14" s="16">
        <f>E15</f>
        <v>14.7</v>
      </c>
      <c r="F14" s="16"/>
      <c r="G14" s="16">
        <f>61-SUM(G12:G13)</f>
        <v>21</v>
      </c>
      <c r="H14" s="12">
        <f>C14/C13-1</f>
        <v>1.18811881188119</v>
      </c>
      <c r="I14" s="12">
        <f>(E14+G14-C14)/C14</f>
        <v>-0.838461538461538</v>
      </c>
      <c r="J14" s="12">
        <f>AVERAGE(I11:I14)</f>
        <v>-0.725050900149697</v>
      </c>
      <c r="K14" s="12"/>
    </row>
    <row r="15" ht="20.05" customHeight="1">
      <c r="B15" s="26"/>
      <c r="C15" s="15">
        <f>574-SUM(C12:C14)</f>
        <v>148</v>
      </c>
      <c r="D15" s="16"/>
      <c r="E15" s="16">
        <f>(0.4+58.4)/4</f>
        <v>14.7</v>
      </c>
      <c r="F15" s="16"/>
      <c r="G15" s="16">
        <f>79-SUM(G12:G14)</f>
        <v>18</v>
      </c>
      <c r="H15" s="12">
        <f>C15/C14-1</f>
        <v>-0.330316742081448</v>
      </c>
      <c r="I15" s="12">
        <f>(E15+G15-C15)/C15</f>
        <v>-0.779054054054054</v>
      </c>
      <c r="J15" s="12">
        <f>AVERAGE(I12:I15)</f>
        <v>-0.735288551594245</v>
      </c>
      <c r="K15" s="12"/>
    </row>
    <row r="16" ht="20.05" customHeight="1">
      <c r="B16" s="27">
        <v>2019</v>
      </c>
      <c r="C16" s="15">
        <v>107</v>
      </c>
      <c r="D16" s="16"/>
      <c r="E16" s="16">
        <f>E17</f>
        <v>15.05</v>
      </c>
      <c r="F16" s="16"/>
      <c r="G16" s="16">
        <v>27</v>
      </c>
      <c r="H16" s="12">
        <f>C16/C15-1</f>
        <v>-0.277027027027027</v>
      </c>
      <c r="I16" s="12">
        <f>(E16+G16+F16-C16)/C16</f>
        <v>-0.607009345794393</v>
      </c>
      <c r="J16" s="12">
        <f>AVERAGE(I13:I16)</f>
        <v>-0.727665888042843</v>
      </c>
      <c r="K16" s="12"/>
    </row>
    <row r="17" ht="20.05" customHeight="1">
      <c r="B17" s="26"/>
      <c r="C17" s="15">
        <f>288-C16</f>
        <v>181</v>
      </c>
      <c r="D17" s="16"/>
      <c r="E17" s="16">
        <f>E18</f>
        <v>15.05</v>
      </c>
      <c r="F17" s="16"/>
      <c r="G17" s="16">
        <f>55-G16</f>
        <v>28</v>
      </c>
      <c r="H17" s="12">
        <f>C17/C16-1</f>
        <v>0.691588785046729</v>
      </c>
      <c r="I17" s="12">
        <f>(E17+G17+F17-C17)/C17</f>
        <v>-0.762154696132597</v>
      </c>
      <c r="J17" s="12">
        <f>AVERAGE(I14:I17)</f>
        <v>-0.746669908610646</v>
      </c>
      <c r="K17" s="12"/>
    </row>
    <row r="18" ht="20.05" customHeight="1">
      <c r="B18" s="26"/>
      <c r="C18" s="15">
        <f>440-SUM(C16:C17)</f>
        <v>152</v>
      </c>
      <c r="D18" s="16"/>
      <c r="E18" s="16">
        <f>E19</f>
        <v>15.05</v>
      </c>
      <c r="F18" s="16"/>
      <c r="G18" s="16">
        <f>79-SUM(G16:G17)</f>
        <v>24</v>
      </c>
      <c r="H18" s="12">
        <f>C18/C17-1</f>
        <v>-0.160220994475138</v>
      </c>
      <c r="I18" s="12">
        <f>(E18+G18+F18-C18)/C18</f>
        <v>-0.7430921052631581</v>
      </c>
      <c r="J18" s="12">
        <f>AVERAGE(I15:I18)</f>
        <v>-0.7228275503110509</v>
      </c>
      <c r="K18" s="12"/>
    </row>
    <row r="19" ht="20.05" customHeight="1">
      <c r="B19" s="26"/>
      <c r="C19" s="15">
        <f>588-SUM(C16:C18)</f>
        <v>148</v>
      </c>
      <c r="D19" s="16"/>
      <c r="E19" s="16">
        <f>(59.8+0.4)/4</f>
        <v>15.05</v>
      </c>
      <c r="F19" s="16"/>
      <c r="G19" s="16">
        <f>113-SUM(G16:G18)</f>
        <v>34</v>
      </c>
      <c r="H19" s="12">
        <f>C19/C18-1</f>
        <v>-0.0263157894736842</v>
      </c>
      <c r="I19" s="12">
        <f>(E19+G19+F19-C19)/C19</f>
        <v>-0.6685810810810811</v>
      </c>
      <c r="J19" s="12">
        <f>AVERAGE(I16:I19)</f>
        <v>-0.695209307067807</v>
      </c>
      <c r="K19" s="12"/>
    </row>
    <row r="20" ht="20.05" customHeight="1">
      <c r="B20" s="27">
        <v>2020</v>
      </c>
      <c r="C20" s="15">
        <v>130</v>
      </c>
      <c r="D20" s="16"/>
      <c r="E20" s="16">
        <f>E21</f>
        <v>13.5333333333333</v>
      </c>
      <c r="F20" s="16">
        <v>25.6</v>
      </c>
      <c r="G20" s="16">
        <f>3</f>
        <v>3</v>
      </c>
      <c r="H20" s="12">
        <f>C20/C19-1</f>
        <v>-0.121621621621622</v>
      </c>
      <c r="I20" s="12">
        <f>(E20+G20+F20-C20)/C20</f>
        <v>-0.675897435897436</v>
      </c>
      <c r="J20" s="12">
        <f>AVERAGE(I17:I20)</f>
        <v>-0.712431329593568</v>
      </c>
      <c r="K20" s="12"/>
    </row>
    <row r="21" ht="20.05" customHeight="1">
      <c r="B21" s="26"/>
      <c r="C21" s="15">
        <f>232-C20</f>
        <v>102</v>
      </c>
      <c r="D21" s="16"/>
      <c r="E21" s="16">
        <f>E22</f>
        <v>13.5333333333333</v>
      </c>
      <c r="F21" s="16"/>
      <c r="G21" s="16">
        <f>36-G20</f>
        <v>33</v>
      </c>
      <c r="H21" s="12">
        <f>C21/C20-1</f>
        <v>-0.215384615384615</v>
      </c>
      <c r="I21" s="12">
        <f>(E21+G21+F21-C21)/C21</f>
        <v>-0.543790849673203</v>
      </c>
      <c r="J21" s="12">
        <f>AVERAGE(I18:I21)</f>
        <v>-0.65784036797872</v>
      </c>
      <c r="K21" s="12"/>
    </row>
    <row r="22" ht="20.05" customHeight="1">
      <c r="B22" s="26"/>
      <c r="C22" s="15">
        <f>342-SUM(C20:C21)</f>
        <v>110</v>
      </c>
      <c r="D22" s="28"/>
      <c r="E22" s="16">
        <f>(0.3+40.3)/3</f>
        <v>13.5333333333333</v>
      </c>
      <c r="F22" s="16"/>
      <c r="G22" s="16">
        <f>49-SUM(G20:G21)</f>
        <v>13</v>
      </c>
      <c r="H22" s="12">
        <f>C22/C21-1</f>
        <v>0.07843137254901961</v>
      </c>
      <c r="I22" s="12">
        <f>(E22+G22+F22-C22)/C22</f>
        <v>-0.758787878787879</v>
      </c>
      <c r="J22" s="12">
        <f>AVERAGE(I19:I22)</f>
        <v>-0.6617643113599</v>
      </c>
      <c r="K22" s="12"/>
    </row>
    <row r="23" ht="20.05" customHeight="1">
      <c r="B23" s="26"/>
      <c r="C23" s="15">
        <f>465.9-SUM(C20:C22)</f>
        <v>123.9</v>
      </c>
      <c r="D23" s="16"/>
      <c r="E23" s="16">
        <f>0.4+53.7-SUM(E20:E22)</f>
        <v>13.5000000000001</v>
      </c>
      <c r="F23" s="16"/>
      <c r="G23" s="16">
        <f>74.7-SUM(G20:G22)</f>
        <v>25.7</v>
      </c>
      <c r="H23" s="12">
        <f>C23/C22-1</f>
        <v>0.126363636363636</v>
      </c>
      <c r="I23" s="12">
        <f>(E23+G23+F23-C23)/C23</f>
        <v>-0.683615819209039</v>
      </c>
      <c r="J23" s="12">
        <f>AVERAGE(I20:I23)</f>
        <v>-0.665522995891889</v>
      </c>
      <c r="K23" s="12"/>
    </row>
    <row r="24" ht="20.05" customHeight="1">
      <c r="B24" s="27">
        <v>2021</v>
      </c>
      <c r="C24" s="15">
        <v>129.2</v>
      </c>
      <c r="D24" s="16">
        <v>121.814</v>
      </c>
      <c r="E24" s="16">
        <f>13+0.9</f>
        <v>13.9</v>
      </c>
      <c r="F24" s="16">
        <v>4.8</v>
      </c>
      <c r="G24" s="16">
        <v>19.6</v>
      </c>
      <c r="H24" s="12">
        <f>C24/C23-1</f>
        <v>0.0427764326069411</v>
      </c>
      <c r="I24" s="12">
        <f>(E24+G24+F24-C24)/C24</f>
        <v>-0.703560371517028</v>
      </c>
      <c r="J24" s="12">
        <f>AVERAGE(I21:I24)</f>
        <v>-0.672438729796787</v>
      </c>
      <c r="K24" s="12"/>
    </row>
    <row r="25" ht="20.05" customHeight="1">
      <c r="B25" s="26"/>
      <c r="C25" s="15">
        <f>257.7-C24</f>
        <v>128.5</v>
      </c>
      <c r="D25" s="16">
        <v>126.616</v>
      </c>
      <c r="E25" s="16">
        <f>26+2-E24</f>
        <v>14.1</v>
      </c>
      <c r="F25" s="16">
        <f>3.6-F24</f>
        <v>-1.2</v>
      </c>
      <c r="G25" s="16">
        <f>40.3-G24</f>
        <v>20.7</v>
      </c>
      <c r="H25" s="12">
        <f>C25/C24-1</f>
        <v>-0.00541795665634675</v>
      </c>
      <c r="I25" s="12">
        <f>(E25+G25+F25-C25)/C25</f>
        <v>-0.73852140077821</v>
      </c>
      <c r="J25" s="12">
        <f>AVERAGE(I22:I25)</f>
        <v>-0.721121367573039</v>
      </c>
      <c r="K25" s="12"/>
    </row>
    <row r="26" ht="20.05" customHeight="1">
      <c r="B26" s="26"/>
      <c r="C26" s="15">
        <f>313.6+70-SUM(C24:C25)</f>
        <v>125.9</v>
      </c>
      <c r="D26" s="16">
        <v>128.5</v>
      </c>
      <c r="E26" s="16">
        <f>0.3+40.3-SUM(E24:E25)</f>
        <v>12.6</v>
      </c>
      <c r="F26" s="16">
        <f>2-SUM(F24:F25)</f>
        <v>-1.6</v>
      </c>
      <c r="G26" s="16">
        <f>66.1-SUM(G24:G25)</f>
        <v>25.8</v>
      </c>
      <c r="H26" s="12">
        <f>C26/C25-1</f>
        <v>-0.0202334630350195</v>
      </c>
      <c r="I26" s="12">
        <f>(E26+G26+F26-C26)/C26</f>
        <v>-0.707704527402701</v>
      </c>
      <c r="J26" s="12">
        <f>AVERAGE(I23:I26)</f>
        <v>-0.7083505297267449</v>
      </c>
      <c r="K26" s="12"/>
    </row>
    <row r="27" ht="20.05" customHeight="1">
      <c r="B27" s="26"/>
      <c r="C27" s="15">
        <f>514.8-SUM(C24:C26)</f>
        <v>131.2</v>
      </c>
      <c r="D27" s="28">
        <v>134.713</v>
      </c>
      <c r="E27" s="16">
        <f>55.8-SUM(E24:E26)</f>
        <v>15.2</v>
      </c>
      <c r="F27" s="16">
        <f>1.6-SUM(F24:F26)</f>
        <v>-0.4</v>
      </c>
      <c r="G27" s="16">
        <f>90.4-SUM(G24:G26)</f>
        <v>24.3</v>
      </c>
      <c r="H27" s="12">
        <f>C27/C26-1</f>
        <v>0.0420969023034154</v>
      </c>
      <c r="I27" s="12">
        <f>(E27+G27+F27-C27)/C27</f>
        <v>-0.701981707317073</v>
      </c>
      <c r="J27" s="12">
        <f>AVERAGE(I24:I27)</f>
        <v>-0.712942001753753</v>
      </c>
      <c r="K27" s="12"/>
    </row>
    <row r="28" ht="20.05" customHeight="1">
      <c r="B28" s="27">
        <v>2022</v>
      </c>
      <c r="C28" s="15">
        <v>132</v>
      </c>
      <c r="D28" s="28">
        <v>134.713</v>
      </c>
      <c r="E28" s="16">
        <v>14</v>
      </c>
      <c r="F28" s="16"/>
      <c r="G28" s="16">
        <v>23.8</v>
      </c>
      <c r="H28" s="12">
        <f>C28/C27-1</f>
        <v>0.00609756097560976</v>
      </c>
      <c r="I28" s="12">
        <f>(E28+G28+F28-C28)/C28</f>
        <v>-0.713636363636364</v>
      </c>
      <c r="J28" s="12">
        <f>AVERAGE(I25:I28)</f>
        <v>-0.715460999783587</v>
      </c>
      <c r="K28" s="12">
        <v>-0.707704527402701</v>
      </c>
    </row>
    <row r="29" ht="20.05" customHeight="1">
      <c r="B29" s="26"/>
      <c r="C29" s="15"/>
      <c r="D29" s="28">
        <f>'Model'!C6</f>
        <v>138.6</v>
      </c>
      <c r="E29" s="16"/>
      <c r="F29" s="16"/>
      <c r="G29" s="16"/>
      <c r="H29" s="12"/>
      <c r="I29" s="12"/>
      <c r="J29" s="12"/>
      <c r="K29" s="12">
        <f>'Model'!C7</f>
        <v>-0.701981707317073</v>
      </c>
    </row>
    <row r="30" ht="20.05" customHeight="1">
      <c r="B30" s="26"/>
      <c r="C30" s="15"/>
      <c r="D30" s="16">
        <f>'Model'!D6</f>
        <v>141.372</v>
      </c>
      <c r="E30" s="16"/>
      <c r="F30" s="16"/>
      <c r="G30" s="16"/>
      <c r="H30" s="12"/>
      <c r="I30" s="12"/>
      <c r="J30" s="12"/>
      <c r="K30" s="12"/>
    </row>
    <row r="31" ht="20.05" customHeight="1">
      <c r="B31" s="26"/>
      <c r="C31" s="15"/>
      <c r="D31" s="16">
        <f>'Model'!E6</f>
        <v>148.4406</v>
      </c>
      <c r="E31" s="16">
        <f>SUM(C24:C28)</f>
        <v>646.8</v>
      </c>
      <c r="F31" s="16">
        <f>SUM(D24:D28)</f>
        <v>646.356</v>
      </c>
      <c r="G31" s="16"/>
      <c r="H31" s="12"/>
      <c r="I31" s="12"/>
      <c r="J31" s="12"/>
      <c r="K31" s="12"/>
    </row>
    <row r="32" ht="20.05" customHeight="1">
      <c r="B32" s="27">
        <v>2023</v>
      </c>
      <c r="C32" s="15"/>
      <c r="D32" s="16">
        <f>'Model'!F6</f>
        <v>146.956194</v>
      </c>
      <c r="E32" s="16"/>
      <c r="F32" s="16"/>
      <c r="G32" s="16"/>
      <c r="H32" s="12"/>
      <c r="I32" s="12"/>
      <c r="J32" s="12"/>
      <c r="K32" s="12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O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75781" style="29" customWidth="1"/>
    <col min="2" max="15" width="9.5625" style="29" customWidth="1"/>
    <col min="16" max="16384" width="16.3516" style="29" customWidth="1"/>
  </cols>
  <sheetData>
    <row r="1" ht="32.25" customHeight="1"/>
    <row r="2" ht="27.65" customHeight="1">
      <c r="B2" t="s" s="2">
        <v>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6.75" customHeight="1">
      <c r="B3" t="s" s="5">
        <v>1</v>
      </c>
      <c r="C3" t="s" s="5">
        <v>47</v>
      </c>
      <c r="D3" t="s" s="5">
        <v>8</v>
      </c>
      <c r="E3" t="s" s="5">
        <v>9</v>
      </c>
      <c r="F3" t="s" s="5">
        <v>48</v>
      </c>
      <c r="G3" t="s" s="5">
        <v>11</v>
      </c>
      <c r="H3" t="s" s="5">
        <v>14</v>
      </c>
      <c r="I3" t="s" s="5">
        <v>10</v>
      </c>
      <c r="J3" t="s" s="5">
        <v>49</v>
      </c>
      <c r="K3" t="s" s="5">
        <v>3</v>
      </c>
      <c r="L3" t="s" s="5">
        <v>34</v>
      </c>
      <c r="M3" t="s" s="5">
        <v>29</v>
      </c>
      <c r="N3" t="s" s="5">
        <v>34</v>
      </c>
      <c r="O3" s="30"/>
    </row>
    <row r="4" ht="21.4" customHeight="1">
      <c r="B4" s="23">
        <v>2016</v>
      </c>
      <c r="C4" s="24">
        <v>144</v>
      </c>
      <c r="D4" s="25">
        <v>31</v>
      </c>
      <c r="E4" s="25">
        <v>-39</v>
      </c>
      <c r="F4" s="25"/>
      <c r="G4" s="25"/>
      <c r="H4" s="25"/>
      <c r="I4" s="25">
        <v>0</v>
      </c>
      <c r="J4" s="31">
        <f>D4+E4+F4</f>
        <v>-8</v>
      </c>
      <c r="K4" s="31"/>
      <c r="L4" s="25"/>
      <c r="M4" s="25">
        <f>-I4</f>
        <v>0</v>
      </c>
      <c r="N4" s="25"/>
      <c r="O4" s="25">
        <v>1</v>
      </c>
    </row>
    <row r="5" ht="21.2" customHeight="1">
      <c r="B5" s="26"/>
      <c r="C5" s="15">
        <f>280.66-C4</f>
        <v>136.66</v>
      </c>
      <c r="D5" s="16">
        <f>64.5-D4</f>
        <v>33.5</v>
      </c>
      <c r="E5" s="16">
        <f>-69.6-E4</f>
        <v>-30.6</v>
      </c>
      <c r="F5" s="16"/>
      <c r="G5" s="16"/>
      <c r="H5" s="16"/>
      <c r="I5" s="16">
        <f>172.2-I4</f>
        <v>172.2</v>
      </c>
      <c r="J5" s="32">
        <f>D5+E5+F5</f>
        <v>2.9</v>
      </c>
      <c r="K5" s="32"/>
      <c r="L5" s="16"/>
      <c r="M5" s="16">
        <f>-I5+M4</f>
        <v>-172.2</v>
      </c>
      <c r="N5" s="16"/>
      <c r="O5" s="16">
        <f>1+O4</f>
        <v>2</v>
      </c>
    </row>
    <row r="6" ht="21.2" customHeight="1">
      <c r="B6" s="26"/>
      <c r="C6" s="15">
        <f>414.8-SUM(C4:C5)</f>
        <v>134.14</v>
      </c>
      <c r="D6" s="16">
        <f>78.24-SUM(D4:D5)</f>
        <v>13.74</v>
      </c>
      <c r="E6" s="16">
        <f>-94.36-SUM(E4:E5)</f>
        <v>-24.76</v>
      </c>
      <c r="F6" s="16"/>
      <c r="G6" s="16"/>
      <c r="H6" s="16"/>
      <c r="I6" s="16">
        <f>721.89-SUM(I4:I5)</f>
        <v>549.6900000000001</v>
      </c>
      <c r="J6" s="32">
        <f>D6+E6+F6</f>
        <v>-11.02</v>
      </c>
      <c r="K6" s="32"/>
      <c r="L6" s="16"/>
      <c r="M6" s="16">
        <f>-I6+M5</f>
        <v>-721.89</v>
      </c>
      <c r="N6" s="16"/>
      <c r="O6" s="16">
        <f>1+O5</f>
        <v>3</v>
      </c>
    </row>
    <row r="7" ht="21.2" customHeight="1">
      <c r="B7" s="26"/>
      <c r="C7" s="15">
        <f>557.33-SUM(C4:C6)</f>
        <v>142.53</v>
      </c>
      <c r="D7" s="16">
        <f>99.84-SUM(D4:D6)</f>
        <v>21.6</v>
      </c>
      <c r="E7" s="16">
        <f>-117.6-SUM(E4:E6)</f>
        <v>-23.24</v>
      </c>
      <c r="F7" s="16"/>
      <c r="G7" s="16"/>
      <c r="H7" s="16"/>
      <c r="I7" s="16">
        <f>181.12-SUM(I4:I6)</f>
        <v>-540.77</v>
      </c>
      <c r="J7" s="32">
        <f>D7+E7+F7</f>
        <v>-1.64</v>
      </c>
      <c r="K7" s="32"/>
      <c r="L7" s="16"/>
      <c r="M7" s="16">
        <f>-I7+M6</f>
        <v>-181.12</v>
      </c>
      <c r="N7" s="16"/>
      <c r="O7" s="16">
        <f>1+O6</f>
        <v>4</v>
      </c>
    </row>
    <row r="8" ht="21.2" customHeight="1">
      <c r="B8" s="27">
        <v>2017</v>
      </c>
      <c r="C8" s="15">
        <v>139</v>
      </c>
      <c r="D8" s="16">
        <v>33.9</v>
      </c>
      <c r="E8" s="16">
        <v>-22</v>
      </c>
      <c r="F8" s="16"/>
      <c r="G8" s="16"/>
      <c r="H8" s="16"/>
      <c r="I8" s="16">
        <v>-34</v>
      </c>
      <c r="J8" s="32">
        <f>D8+E8+F8</f>
        <v>11.9</v>
      </c>
      <c r="K8" s="32">
        <f>AVERAGE(J5:J8)</f>
        <v>0.535</v>
      </c>
      <c r="L8" s="16"/>
      <c r="M8" s="16">
        <f>-I8+M7</f>
        <v>-147.12</v>
      </c>
      <c r="N8" s="16"/>
      <c r="O8" s="16">
        <f>1+O7</f>
        <v>5</v>
      </c>
    </row>
    <row r="9" ht="21.2" customHeight="1">
      <c r="B9" s="26"/>
      <c r="C9" s="15">
        <f>276-C8</f>
        <v>137</v>
      </c>
      <c r="D9" s="16">
        <f>75-D8</f>
        <v>41.1</v>
      </c>
      <c r="E9" s="16">
        <f>-45-E8</f>
        <v>-23</v>
      </c>
      <c r="F9" s="16"/>
      <c r="G9" s="16"/>
      <c r="H9" s="16"/>
      <c r="I9" s="16">
        <f>-56-I8</f>
        <v>-22</v>
      </c>
      <c r="J9" s="32">
        <f>D9+E9+F9</f>
        <v>18.1</v>
      </c>
      <c r="K9" s="32">
        <f>AVERAGE(J6:J9)</f>
        <v>4.335</v>
      </c>
      <c r="L9" s="16"/>
      <c r="M9" s="16">
        <f>-I9+M8</f>
        <v>-125.12</v>
      </c>
      <c r="N9" s="16"/>
      <c r="O9" s="16">
        <f>1+O8</f>
        <v>6</v>
      </c>
    </row>
    <row r="10" ht="21.2" customHeight="1">
      <c r="B10" s="26"/>
      <c r="C10" s="15">
        <f>417-SUM(C8:C9)</f>
        <v>141</v>
      </c>
      <c r="D10" s="16">
        <f>103-SUM(D8:D9)</f>
        <v>28</v>
      </c>
      <c r="E10" s="16">
        <f>-65-SUM(E8:E9)</f>
        <v>-20</v>
      </c>
      <c r="F10" s="16"/>
      <c r="G10" s="16"/>
      <c r="H10" s="16"/>
      <c r="I10" s="16">
        <f>-56-SUM(I8:I9)</f>
        <v>0</v>
      </c>
      <c r="J10" s="32">
        <f>D10+E10+F10</f>
        <v>8</v>
      </c>
      <c r="K10" s="32">
        <f>AVERAGE(J7:J10)</f>
        <v>9.09</v>
      </c>
      <c r="L10" s="16"/>
      <c r="M10" s="16">
        <f>-I10+M9</f>
        <v>-125.12</v>
      </c>
      <c r="N10" s="16"/>
      <c r="O10" s="16">
        <f>1+O9</f>
        <v>7</v>
      </c>
    </row>
    <row r="11" ht="21.2" customHeight="1">
      <c r="B11" s="26"/>
      <c r="C11" s="15">
        <f>562-SUM(C8:C10)</f>
        <v>145</v>
      </c>
      <c r="D11" s="16">
        <f>147-SUM(D8:D10)</f>
        <v>44</v>
      </c>
      <c r="E11" s="16">
        <f>-148-SUM(E8:E10)</f>
        <v>-83</v>
      </c>
      <c r="F11" s="16"/>
      <c r="G11" s="16"/>
      <c r="H11" s="16"/>
      <c r="I11" s="16">
        <f>-71-SUM(I8:I10)</f>
        <v>-15</v>
      </c>
      <c r="J11" s="32">
        <f>D11+E11+F11</f>
        <v>-39</v>
      </c>
      <c r="K11" s="32">
        <f>AVERAGE(J8:J11)</f>
        <v>-0.25</v>
      </c>
      <c r="L11" s="16"/>
      <c r="M11" s="16">
        <f>-I11+M10</f>
        <v>-110.12</v>
      </c>
      <c r="N11" s="16"/>
      <c r="O11" s="16">
        <f>1+O10</f>
        <v>8</v>
      </c>
    </row>
    <row r="12" ht="21.2" customHeight="1">
      <c r="B12" s="27">
        <v>2018</v>
      </c>
      <c r="C12" s="15">
        <v>183</v>
      </c>
      <c r="D12" s="16">
        <v>13</v>
      </c>
      <c r="E12" s="16">
        <v>-10</v>
      </c>
      <c r="F12" s="16"/>
      <c r="G12" s="16"/>
      <c r="H12" s="16"/>
      <c r="I12" s="16">
        <v>0</v>
      </c>
      <c r="J12" s="32">
        <f>D12+E12+F12</f>
        <v>3</v>
      </c>
      <c r="K12" s="32">
        <f>AVERAGE(J9:J12)</f>
        <v>-2.475</v>
      </c>
      <c r="L12" s="16"/>
      <c r="M12" s="16">
        <f>-I12+M11</f>
        <v>-110.12</v>
      </c>
      <c r="N12" s="16"/>
      <c r="O12" s="16">
        <f>1+O11</f>
        <v>9</v>
      </c>
    </row>
    <row r="13" ht="21.2" customHeight="1">
      <c r="B13" s="26"/>
      <c r="C13" s="15">
        <f>287-C12</f>
        <v>104</v>
      </c>
      <c r="D13" s="16">
        <f>68-D12</f>
        <v>55</v>
      </c>
      <c r="E13" s="16">
        <f>-17-E12</f>
        <v>-7</v>
      </c>
      <c r="F13" s="16"/>
      <c r="G13" s="16"/>
      <c r="H13" s="16"/>
      <c r="I13" s="16">
        <f>-54-I12</f>
        <v>-54</v>
      </c>
      <c r="J13" s="32">
        <f>D13+E13+F13</f>
        <v>48</v>
      </c>
      <c r="K13" s="32">
        <f>AVERAGE(J10:J13)</f>
        <v>5</v>
      </c>
      <c r="L13" s="16"/>
      <c r="M13" s="16">
        <f>-I13+M12</f>
        <v>-56.12</v>
      </c>
      <c r="N13" s="16"/>
      <c r="O13" s="16">
        <f>1+O12</f>
        <v>10</v>
      </c>
    </row>
    <row r="14" ht="21.2" customHeight="1">
      <c r="B14" s="26"/>
      <c r="C14" s="15">
        <f>426-SUM(C12:C13)</f>
        <v>139</v>
      </c>
      <c r="D14" s="16">
        <f>93-SUM(D12:D13)</f>
        <v>25</v>
      </c>
      <c r="E14" s="16">
        <f>-35-SUM(E12:E13)</f>
        <v>-18</v>
      </c>
      <c r="F14" s="16"/>
      <c r="G14" s="16"/>
      <c r="H14" s="16"/>
      <c r="I14" s="16">
        <f>-54-SUM(I12:I13)</f>
        <v>0</v>
      </c>
      <c r="J14" s="32">
        <f>D14+E14+F14</f>
        <v>7</v>
      </c>
      <c r="K14" s="32">
        <f>AVERAGE(J11:J14)</f>
        <v>4.75</v>
      </c>
      <c r="L14" s="16"/>
      <c r="M14" s="16">
        <f>-I14+M13</f>
        <v>-56.12</v>
      </c>
      <c r="N14" s="16"/>
      <c r="O14" s="16">
        <f>1+O13</f>
        <v>11</v>
      </c>
    </row>
    <row r="15" ht="21.2" customHeight="1">
      <c r="B15" s="26"/>
      <c r="C15" s="15">
        <f>575-SUM(C12:C14)</f>
        <v>149</v>
      </c>
      <c r="D15" s="16">
        <f>142-SUM(D12:D14)</f>
        <v>49</v>
      </c>
      <c r="E15" s="16">
        <f>-51-SUM(E12:E14)</f>
        <v>-16</v>
      </c>
      <c r="F15" s="16"/>
      <c r="G15" s="16"/>
      <c r="H15" s="16"/>
      <c r="I15" s="16">
        <f>-80-SUM(I12:I14)</f>
        <v>-26</v>
      </c>
      <c r="J15" s="32">
        <f>D15+E15+F15</f>
        <v>33</v>
      </c>
      <c r="K15" s="32">
        <f>AVERAGE(J12:J15)</f>
        <v>22.75</v>
      </c>
      <c r="L15" s="16"/>
      <c r="M15" s="16">
        <f>-I15+M14</f>
        <v>-30.12</v>
      </c>
      <c r="N15" s="16"/>
      <c r="O15" s="16">
        <f>1+O14</f>
        <v>12</v>
      </c>
    </row>
    <row r="16" ht="21.2" customHeight="1">
      <c r="B16" s="27">
        <v>2019</v>
      </c>
      <c r="C16" s="15">
        <v>132</v>
      </c>
      <c r="D16" s="16">
        <v>28</v>
      </c>
      <c r="E16" s="16">
        <v>-1</v>
      </c>
      <c r="F16" s="16"/>
      <c r="G16" s="16"/>
      <c r="H16" s="16"/>
      <c r="I16" s="16">
        <v>-2</v>
      </c>
      <c r="J16" s="32">
        <f>D16+E16+F16</f>
        <v>27</v>
      </c>
      <c r="K16" s="32">
        <f>AVERAGE(J13:J16)</f>
        <v>28.75</v>
      </c>
      <c r="L16" s="16"/>
      <c r="M16" s="16">
        <f>-I16+M15</f>
        <v>-28.12</v>
      </c>
      <c r="N16" s="16"/>
      <c r="O16" s="16">
        <f>1+O15</f>
        <v>13</v>
      </c>
    </row>
    <row r="17" ht="21.2" customHeight="1">
      <c r="B17" s="26"/>
      <c r="C17" s="15">
        <f>291-C16</f>
        <v>159</v>
      </c>
      <c r="D17" s="16">
        <f>80-D16</f>
        <v>52</v>
      </c>
      <c r="E17" s="16">
        <f>4-E16</f>
        <v>5</v>
      </c>
      <c r="F17" s="16"/>
      <c r="G17" s="16"/>
      <c r="H17" s="16"/>
      <c r="I17" s="16">
        <f>-50-I16</f>
        <v>-48</v>
      </c>
      <c r="J17" s="32">
        <f>D17+E17+F17</f>
        <v>57</v>
      </c>
      <c r="K17" s="32">
        <f>AVERAGE(J14:J17)</f>
        <v>31</v>
      </c>
      <c r="L17" s="16"/>
      <c r="M17" s="16">
        <f>-I17+M16</f>
        <v>19.88</v>
      </c>
      <c r="N17" s="16"/>
      <c r="O17" s="16">
        <f>1+O16</f>
        <v>14</v>
      </c>
    </row>
    <row r="18" ht="21.2" customHeight="1">
      <c r="B18" s="26"/>
      <c r="C18" s="15">
        <f>436-SUM(C16:C17)</f>
        <v>145</v>
      </c>
      <c r="D18" s="16">
        <f>83-SUM(D16:D17)</f>
        <v>3</v>
      </c>
      <c r="E18" s="16">
        <f>-8-SUM(E16:E17)</f>
        <v>-12</v>
      </c>
      <c r="F18" s="16"/>
      <c r="G18" s="16"/>
      <c r="H18" s="16"/>
      <c r="I18" s="16">
        <f>-64-SUM(I16:I17)</f>
        <v>-14</v>
      </c>
      <c r="J18" s="32">
        <f>D18+E18+F18</f>
        <v>-9</v>
      </c>
      <c r="K18" s="32">
        <f>AVERAGE(J15:J18)</f>
        <v>27</v>
      </c>
      <c r="L18" s="16"/>
      <c r="M18" s="16">
        <f>-I18+M17</f>
        <v>33.88</v>
      </c>
      <c r="N18" s="16"/>
      <c r="O18" s="16">
        <f>1+O17</f>
        <v>15</v>
      </c>
    </row>
    <row r="19" ht="21.2" customHeight="1">
      <c r="B19" s="26"/>
      <c r="C19" s="15">
        <f>585-SUM(C16:C18)</f>
        <v>149</v>
      </c>
      <c r="D19" s="16">
        <f>126-SUM(D16:D18)</f>
        <v>43</v>
      </c>
      <c r="E19" s="16">
        <f>51-SUM(E16:E18)</f>
        <v>59</v>
      </c>
      <c r="F19" s="16"/>
      <c r="G19" s="16"/>
      <c r="H19" s="16"/>
      <c r="I19" s="16">
        <f>-94-SUM(I16:I18)</f>
        <v>-30</v>
      </c>
      <c r="J19" s="32">
        <f>D19+E19+F19</f>
        <v>102</v>
      </c>
      <c r="K19" s="32">
        <f>AVERAGE(J16:J19)</f>
        <v>44.25</v>
      </c>
      <c r="L19" s="16"/>
      <c r="M19" s="16">
        <f>-I19+M18</f>
        <v>63.88</v>
      </c>
      <c r="N19" s="16"/>
      <c r="O19" s="16">
        <f>1+O18</f>
        <v>16</v>
      </c>
    </row>
    <row r="20" ht="21.2" customHeight="1">
      <c r="B20" s="27">
        <v>2020</v>
      </c>
      <c r="C20" s="15">
        <v>133</v>
      </c>
      <c r="D20" s="16">
        <v>26</v>
      </c>
      <c r="E20" s="16">
        <v>-14</v>
      </c>
      <c r="F20" s="16"/>
      <c r="G20" s="16"/>
      <c r="H20" s="16">
        <v>-1</v>
      </c>
      <c r="I20" s="16">
        <v>-1</v>
      </c>
      <c r="J20" s="32">
        <f>D20+E20+F20</f>
        <v>12</v>
      </c>
      <c r="K20" s="32">
        <f>AVERAGE(J17:J20)</f>
        <v>40.5</v>
      </c>
      <c r="L20" s="16"/>
      <c r="M20" s="16">
        <f>-I20+M19</f>
        <v>64.88</v>
      </c>
      <c r="N20" s="16"/>
      <c r="O20" s="16">
        <f>1+O19</f>
        <v>17</v>
      </c>
    </row>
    <row r="21" ht="21.2" customHeight="1">
      <c r="B21" s="26"/>
      <c r="C21" s="15">
        <f>260-C20</f>
        <v>127</v>
      </c>
      <c r="D21" s="16">
        <f>83-D20</f>
        <v>57</v>
      </c>
      <c r="E21" s="16">
        <f>-11-E20</f>
        <v>3</v>
      </c>
      <c r="F21" s="16"/>
      <c r="G21" s="16"/>
      <c r="H21" s="16">
        <v>-0.3</v>
      </c>
      <c r="I21" s="16">
        <f>-1-I20</f>
        <v>0</v>
      </c>
      <c r="J21" s="32">
        <f>D21+E21+F21</f>
        <v>60</v>
      </c>
      <c r="K21" s="32">
        <f>AVERAGE(J18:J21)</f>
        <v>41.25</v>
      </c>
      <c r="L21" s="16"/>
      <c r="M21" s="16">
        <f>-I21+M20</f>
        <v>64.88</v>
      </c>
      <c r="N21" s="16"/>
      <c r="O21" s="16">
        <f>1+O20</f>
        <v>18</v>
      </c>
    </row>
    <row r="22" ht="21.2" customHeight="1">
      <c r="B22" s="26"/>
      <c r="C22" s="15">
        <f>363-SUM(C20:C21)</f>
        <v>103</v>
      </c>
      <c r="D22" s="16">
        <f>109-SUM(D20:D21)</f>
        <v>26</v>
      </c>
      <c r="E22" s="16">
        <f>-15-SUM(E20:E21)</f>
        <v>-4</v>
      </c>
      <c r="F22" s="16"/>
      <c r="G22" s="16">
        <v>0</v>
      </c>
      <c r="H22" s="16">
        <v>-44.7</v>
      </c>
      <c r="I22" s="16">
        <f>-46-SUM(I20:I21)</f>
        <v>-45</v>
      </c>
      <c r="J22" s="32">
        <f>D22+E22+F22</f>
        <v>22</v>
      </c>
      <c r="K22" s="32">
        <f>AVERAGE(J19:J22)</f>
        <v>49</v>
      </c>
      <c r="L22" s="16"/>
      <c r="M22" s="16">
        <f>-I22+M21</f>
        <v>109.88</v>
      </c>
      <c r="N22" s="16"/>
      <c r="O22" s="16">
        <f>1+O21</f>
        <v>19</v>
      </c>
    </row>
    <row r="23" ht="21.2" customHeight="1">
      <c r="B23" s="26"/>
      <c r="C23" s="15">
        <f>482.7-SUM(C20:C22)</f>
        <v>119.7</v>
      </c>
      <c r="D23" s="16">
        <f>169.8-SUM(D20:D22)</f>
        <v>60.8</v>
      </c>
      <c r="E23" s="16">
        <f>-72.5-SUM(E20:E22)</f>
        <v>-57.5</v>
      </c>
      <c r="F23" s="16"/>
      <c r="G23" s="16"/>
      <c r="H23" s="16"/>
      <c r="I23" s="16">
        <f>-66.1-SUM(I20:I22)</f>
        <v>-20.1</v>
      </c>
      <c r="J23" s="32">
        <f>D23+E23+F23</f>
        <v>3.3</v>
      </c>
      <c r="K23" s="32">
        <f>AVERAGE(J20:J23)</f>
        <v>24.325</v>
      </c>
      <c r="L23" s="16"/>
      <c r="M23" s="16">
        <f>-I23+M22</f>
        <v>129.98</v>
      </c>
      <c r="N23" s="16"/>
      <c r="O23" s="16">
        <f>1+O22</f>
        <v>20</v>
      </c>
    </row>
    <row r="24" ht="21.2" customHeight="1">
      <c r="B24" s="27">
        <v>2021</v>
      </c>
      <c r="C24" s="15">
        <v>129.1</v>
      </c>
      <c r="D24" s="16">
        <v>38.9</v>
      </c>
      <c r="E24" s="16">
        <v>10.9</v>
      </c>
      <c r="F24" s="16">
        <v>-0.57</v>
      </c>
      <c r="G24" s="16">
        <v>0</v>
      </c>
      <c r="H24" s="16">
        <v>0</v>
      </c>
      <c r="I24" s="16">
        <v>-0.6</v>
      </c>
      <c r="J24" s="32">
        <f>D24+E24+F24</f>
        <v>49.23</v>
      </c>
      <c r="K24" s="32">
        <f>AVERAGE(J21:J24)</f>
        <v>33.6325</v>
      </c>
      <c r="L24" s="16"/>
      <c r="M24" s="16">
        <f>-(I24-F24)+M23</f>
        <v>130.01</v>
      </c>
      <c r="N24" s="16"/>
      <c r="O24" s="16">
        <f>1+O23</f>
        <v>21</v>
      </c>
    </row>
    <row r="25" ht="21.2" customHeight="1">
      <c r="B25" s="26"/>
      <c r="C25" s="15">
        <f>256.2-C24</f>
        <v>127.1</v>
      </c>
      <c r="D25" s="16">
        <f>60.6-D24</f>
        <v>21.7</v>
      </c>
      <c r="E25" s="16">
        <f>-22.1-E24</f>
        <v>-33</v>
      </c>
      <c r="F25" s="16">
        <v>-0.29</v>
      </c>
      <c r="G25" s="16">
        <v>0</v>
      </c>
      <c r="H25" s="16">
        <v>-40.6</v>
      </c>
      <c r="I25" s="16">
        <f>-41.5-I24</f>
        <v>-40.9</v>
      </c>
      <c r="J25" s="32">
        <f>D25+E25+F25</f>
        <v>-11.59</v>
      </c>
      <c r="K25" s="32">
        <f>AVERAGE(J22:J25)</f>
        <v>15.735</v>
      </c>
      <c r="L25" s="16"/>
      <c r="M25" s="16">
        <f>-(I25-F25)+M24</f>
        <v>170.62</v>
      </c>
      <c r="N25" s="16"/>
      <c r="O25" s="16">
        <f>1+O24</f>
        <v>22</v>
      </c>
    </row>
    <row r="26" ht="21.2" customHeight="1">
      <c r="B26" s="26"/>
      <c r="C26" s="15">
        <f>385.2-SUM(C24:C25)</f>
        <v>129</v>
      </c>
      <c r="D26" s="16">
        <f>102.5-SUM(D24:D25)</f>
        <v>41.9</v>
      </c>
      <c r="E26" s="16">
        <f>-5.3-SUM(E24:E25)</f>
        <v>16.8</v>
      </c>
      <c r="F26" s="16">
        <v>-0.84</v>
      </c>
      <c r="G26" s="16">
        <v>0</v>
      </c>
      <c r="H26" s="16">
        <v>0</v>
      </c>
      <c r="I26" s="16">
        <f>-42.3-SUM(I24:I25)</f>
        <v>-0.8</v>
      </c>
      <c r="J26" s="32">
        <f>D26+E26+F26</f>
        <v>57.86</v>
      </c>
      <c r="K26" s="32">
        <f>AVERAGE(J23:J26)</f>
        <v>24.7</v>
      </c>
      <c r="L26" s="16"/>
      <c r="M26" s="16">
        <f>-(I26-F26)+M25</f>
        <v>170.58</v>
      </c>
      <c r="N26" s="16"/>
      <c r="O26" s="16">
        <f>1+O25</f>
        <v>23</v>
      </c>
    </row>
    <row r="27" ht="21.2" customHeight="1">
      <c r="B27" s="26"/>
      <c r="C27" s="15">
        <f>517.4-SUM(C24:C26)</f>
        <v>132.2</v>
      </c>
      <c r="D27" s="16">
        <f>139.3-SUM(D24:D26)</f>
        <v>36.8</v>
      </c>
      <c r="E27" s="16">
        <f>-68.3-SUM(E24:E26)</f>
        <v>-63</v>
      </c>
      <c r="F27" s="16">
        <f>-1.1-SUM(F24:F26)</f>
        <v>0.6</v>
      </c>
      <c r="G27" s="16">
        <v>0</v>
      </c>
      <c r="H27" s="16">
        <f>-63.6-SUM(H24:H26)</f>
        <v>-23</v>
      </c>
      <c r="I27" s="16">
        <f>-64.7-SUM(I24:I26)</f>
        <v>-22.4</v>
      </c>
      <c r="J27" s="32">
        <f>D27+E27+F27</f>
        <v>-25.6</v>
      </c>
      <c r="K27" s="32">
        <f>AVERAGE(J24:J27)</f>
        <v>17.475</v>
      </c>
      <c r="L27" s="16"/>
      <c r="M27" s="16">
        <f>-(I27-F27)+M26</f>
        <v>193.58</v>
      </c>
      <c r="N27" s="16"/>
      <c r="O27" s="16">
        <f>1+O26</f>
        <v>24</v>
      </c>
    </row>
    <row r="28" ht="21.2" customHeight="1">
      <c r="B28" s="27">
        <v>2022</v>
      </c>
      <c r="C28" s="15">
        <v>133</v>
      </c>
      <c r="D28" s="16">
        <v>15.9</v>
      </c>
      <c r="E28" s="16">
        <v>-42</v>
      </c>
      <c r="F28" s="16">
        <v>-0.5</v>
      </c>
      <c r="G28" s="16">
        <v>0</v>
      </c>
      <c r="H28" s="16">
        <v>0</v>
      </c>
      <c r="I28" s="16">
        <v>-0.5</v>
      </c>
      <c r="J28" s="32">
        <f>D28+E28+F28</f>
        <v>-26.6</v>
      </c>
      <c r="K28" s="32">
        <f>AVERAGE(J25:J28)</f>
        <v>-1.4825</v>
      </c>
      <c r="L28" s="32">
        <v>25.9029196</v>
      </c>
      <c r="M28" s="16">
        <f>-(I28-F28)+M27</f>
        <v>193.58</v>
      </c>
      <c r="N28" s="16">
        <v>264.5475116</v>
      </c>
      <c r="O28" s="16">
        <f>1+O27</f>
        <v>25</v>
      </c>
    </row>
    <row r="29" ht="21.2" customHeight="1">
      <c r="B29" s="26"/>
      <c r="C29" s="15"/>
      <c r="D29" s="16"/>
      <c r="E29" s="16"/>
      <c r="F29" s="16"/>
      <c r="G29" s="16"/>
      <c r="H29" s="16"/>
      <c r="I29" s="16"/>
      <c r="J29" s="32"/>
      <c r="K29" s="19"/>
      <c r="L29" s="32">
        <f>SUM('Model'!F9:F10)</f>
        <v>14.395634035061</v>
      </c>
      <c r="M29" s="19"/>
      <c r="N29" s="16">
        <f>'Model'!F34</f>
        <v>247.450425650915</v>
      </c>
      <c r="O29" s="16"/>
    </row>
  </sheetData>
  <mergeCells count="1">
    <mergeCell ref="B2:O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3" customWidth="1"/>
    <col min="2" max="11" width="9.21875" style="33" customWidth="1"/>
    <col min="12" max="16384" width="16.3516" style="33" customWidth="1"/>
  </cols>
  <sheetData>
    <row r="1" ht="7.5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50</v>
      </c>
      <c r="D3" t="s" s="5">
        <v>51</v>
      </c>
      <c r="E3" t="s" s="5">
        <v>22</v>
      </c>
      <c r="F3" t="s" s="5">
        <v>23</v>
      </c>
      <c r="G3" t="s" s="5">
        <v>11</v>
      </c>
      <c r="H3" t="s" s="5">
        <v>14</v>
      </c>
      <c r="I3" t="s" s="5">
        <v>52</v>
      </c>
      <c r="J3" t="s" s="5">
        <v>26</v>
      </c>
      <c r="K3" t="s" s="5">
        <v>34</v>
      </c>
    </row>
    <row r="4" ht="20.25" customHeight="1">
      <c r="B4" s="23">
        <v>2016</v>
      </c>
      <c r="C4" s="24">
        <v>50</v>
      </c>
      <c r="D4" s="25">
        <v>1057</v>
      </c>
      <c r="E4" s="25">
        <f>D4-C4</f>
        <v>1007</v>
      </c>
      <c r="F4" s="25">
        <f>F5-'Sales'!E5</f>
        <v>572.025000000001</v>
      </c>
      <c r="G4" s="25">
        <v>636</v>
      </c>
      <c r="H4" s="25">
        <v>421</v>
      </c>
      <c r="I4" s="25">
        <f>G4+H4-C4-E4</f>
        <v>0</v>
      </c>
      <c r="J4" s="25">
        <f>C4-G4</f>
        <v>-586</v>
      </c>
      <c r="K4" s="25"/>
    </row>
    <row r="5" ht="20.05" customHeight="1">
      <c r="B5" s="26"/>
      <c r="C5" s="15">
        <v>226</v>
      </c>
      <c r="D5" s="16">
        <v>1262</v>
      </c>
      <c r="E5" s="16">
        <f>D5-C5</f>
        <v>1036</v>
      </c>
      <c r="F5" s="16">
        <f>F6-'Sales'!E6</f>
        <v>581.850000000001</v>
      </c>
      <c r="G5" s="16">
        <v>646</v>
      </c>
      <c r="H5" s="16">
        <v>616</v>
      </c>
      <c r="I5" s="16">
        <f>G5+H5-C5-E5</f>
        <v>0</v>
      </c>
      <c r="J5" s="16">
        <f>C5-G5</f>
        <v>-420</v>
      </c>
      <c r="K5" s="16"/>
    </row>
    <row r="6" ht="20.05" customHeight="1">
      <c r="B6" s="26"/>
      <c r="C6" s="15">
        <v>765</v>
      </c>
      <c r="D6" s="16">
        <v>1827</v>
      </c>
      <c r="E6" s="16">
        <f>D6-C6</f>
        <v>1062</v>
      </c>
      <c r="F6" s="16">
        <f>F7-'Sales'!E7</f>
        <v>591.675000000001</v>
      </c>
      <c r="G6" s="16">
        <v>1207</v>
      </c>
      <c r="H6" s="16">
        <v>620</v>
      </c>
      <c r="I6" s="16">
        <f>G6+H6-C6-E6</f>
        <v>0</v>
      </c>
      <c r="J6" s="16">
        <f>C6-G6</f>
        <v>-442</v>
      </c>
      <c r="K6" s="16"/>
    </row>
    <row r="7" ht="20.05" customHeight="1">
      <c r="B7" s="26"/>
      <c r="C7" s="15">
        <v>222</v>
      </c>
      <c r="D7" s="16">
        <v>1271</v>
      </c>
      <c r="E7" s="16">
        <f>D7-C7</f>
        <v>1049</v>
      </c>
      <c r="F7" s="16">
        <f>F8-'Sales'!E8</f>
        <v>601.500000000001</v>
      </c>
      <c r="G7" s="16">
        <v>667</v>
      </c>
      <c r="H7" s="16">
        <v>604</v>
      </c>
      <c r="I7" s="16">
        <f>G7+H7-C7-E7</f>
        <v>0</v>
      </c>
      <c r="J7" s="16">
        <f>C7-G7</f>
        <v>-445</v>
      </c>
      <c r="K7" s="16"/>
    </row>
    <row r="8" ht="20.05" customHeight="1">
      <c r="B8" s="27">
        <v>2017</v>
      </c>
      <c r="C8" s="15">
        <v>234</v>
      </c>
      <c r="D8" s="16">
        <v>1297</v>
      </c>
      <c r="E8" s="16">
        <f>D8-C8</f>
        <v>1063</v>
      </c>
      <c r="F8" s="16">
        <f>F9-'Sales'!E9</f>
        <v>611.475000000001</v>
      </c>
      <c r="G8" s="16">
        <v>666</v>
      </c>
      <c r="H8" s="16">
        <v>631</v>
      </c>
      <c r="I8" s="16">
        <f>G8+H8-C8-E8</f>
        <v>0</v>
      </c>
      <c r="J8" s="16">
        <f>C8-G8</f>
        <v>-432</v>
      </c>
      <c r="K8" s="16"/>
    </row>
    <row r="9" ht="20.05" customHeight="1">
      <c r="B9" s="26"/>
      <c r="C9" s="15">
        <v>196</v>
      </c>
      <c r="D9" s="16">
        <v>1281</v>
      </c>
      <c r="E9" s="16">
        <f>D9-C9</f>
        <v>1085</v>
      </c>
      <c r="F9" s="16">
        <f>F10-'Sales'!E10</f>
        <v>621.450000000001</v>
      </c>
      <c r="G9" s="16">
        <v>678</v>
      </c>
      <c r="H9" s="16">
        <v>603</v>
      </c>
      <c r="I9" s="16">
        <f>G9+H9-C9-E9</f>
        <v>0</v>
      </c>
      <c r="J9" s="16">
        <f>C9-G9</f>
        <v>-482</v>
      </c>
      <c r="K9" s="16"/>
    </row>
    <row r="10" ht="20.05" customHeight="1">
      <c r="B10" s="26"/>
      <c r="C10" s="15">
        <v>204</v>
      </c>
      <c r="D10" s="16">
        <v>1297</v>
      </c>
      <c r="E10" s="16">
        <f>D10-C10</f>
        <v>1093</v>
      </c>
      <c r="F10" s="16">
        <f>F11-'Sales'!E11</f>
        <v>631.425000000001</v>
      </c>
      <c r="G10" s="16">
        <v>671</v>
      </c>
      <c r="H10" s="16">
        <v>626</v>
      </c>
      <c r="I10" s="16">
        <f>G10+H10-C10-E10</f>
        <v>0</v>
      </c>
      <c r="J10" s="16">
        <f>C10-G10</f>
        <v>-467</v>
      </c>
      <c r="K10" s="16"/>
    </row>
    <row r="11" ht="20.05" customHeight="1">
      <c r="B11" s="26"/>
      <c r="C11" s="15">
        <v>150</v>
      </c>
      <c r="D11" s="16">
        <v>1323</v>
      </c>
      <c r="E11" s="16">
        <f>D11-C11</f>
        <v>1173</v>
      </c>
      <c r="F11" s="16">
        <f>F12-'Sales'!E12</f>
        <v>641.400000000001</v>
      </c>
      <c r="G11" s="16">
        <v>683</v>
      </c>
      <c r="H11" s="16">
        <v>640</v>
      </c>
      <c r="I11" s="16">
        <f>G11+H11-C11-E11</f>
        <v>0</v>
      </c>
      <c r="J11" s="16">
        <f>C11-G11</f>
        <v>-533</v>
      </c>
      <c r="K11" s="16"/>
    </row>
    <row r="12" ht="20.05" customHeight="1">
      <c r="B12" s="27">
        <v>2018</v>
      </c>
      <c r="C12" s="15">
        <v>200</v>
      </c>
      <c r="D12" s="16">
        <v>1329</v>
      </c>
      <c r="E12" s="16">
        <f>D12-C12</f>
        <v>1129</v>
      </c>
      <c r="F12" s="16">
        <f>F13-'Sales'!E13</f>
        <v>656.100000000001</v>
      </c>
      <c r="G12" s="16">
        <v>666</v>
      </c>
      <c r="H12" s="16">
        <v>663</v>
      </c>
      <c r="I12" s="16">
        <f>G12+H12-C12-E12</f>
        <v>0</v>
      </c>
      <c r="J12" s="16">
        <f>C12-G12</f>
        <v>-466</v>
      </c>
      <c r="K12" s="16"/>
    </row>
    <row r="13" ht="20.05" customHeight="1">
      <c r="B13" s="26"/>
      <c r="C13" s="15">
        <v>192</v>
      </c>
      <c r="D13" s="16">
        <v>1291</v>
      </c>
      <c r="E13" s="16">
        <f>D13-C13</f>
        <v>1099</v>
      </c>
      <c r="F13" s="16">
        <f>F14-'Sales'!E14</f>
        <v>670.800000000001</v>
      </c>
      <c r="G13" s="16">
        <v>664</v>
      </c>
      <c r="H13" s="16">
        <v>627</v>
      </c>
      <c r="I13" s="16">
        <f>G13+H13-C13-E13</f>
        <v>0</v>
      </c>
      <c r="J13" s="16">
        <f>C13-G13</f>
        <v>-472</v>
      </c>
      <c r="K13" s="16"/>
    </row>
    <row r="14" ht="20.05" customHeight="1">
      <c r="B14" s="26"/>
      <c r="C14" s="15">
        <v>210</v>
      </c>
      <c r="D14" s="16">
        <v>1307</v>
      </c>
      <c r="E14" s="16">
        <f>D14-C14</f>
        <v>1097</v>
      </c>
      <c r="F14" s="16">
        <f>F15-'Sales'!E15</f>
        <v>685.500000000001</v>
      </c>
      <c r="G14" s="16">
        <v>660</v>
      </c>
      <c r="H14" s="16">
        <v>647</v>
      </c>
      <c r="I14" s="16">
        <f>G14+H14-C14-E14</f>
        <v>0</v>
      </c>
      <c r="J14" s="16">
        <f>C14-G14</f>
        <v>-450</v>
      </c>
      <c r="K14" s="16"/>
    </row>
    <row r="15" ht="20.05" customHeight="1">
      <c r="B15" s="26"/>
      <c r="C15" s="15">
        <v>156</v>
      </c>
      <c r="D15" s="16">
        <v>1309</v>
      </c>
      <c r="E15" s="16">
        <f>D15-C15</f>
        <v>1153</v>
      </c>
      <c r="F15" s="16">
        <f>F16-'Sales'!E16</f>
        <v>700.200000000001</v>
      </c>
      <c r="G15" s="16">
        <v>669</v>
      </c>
      <c r="H15" s="16">
        <v>640</v>
      </c>
      <c r="I15" s="16">
        <f>G15+H15-C15-E15</f>
        <v>0</v>
      </c>
      <c r="J15" s="16">
        <f>C15-G15</f>
        <v>-513</v>
      </c>
      <c r="K15" s="16"/>
    </row>
    <row r="16" ht="20.05" customHeight="1">
      <c r="B16" s="27">
        <v>2019</v>
      </c>
      <c r="C16" s="15">
        <v>183</v>
      </c>
      <c r="D16" s="16">
        <v>1335</v>
      </c>
      <c r="E16" s="16">
        <f>D16-C16</f>
        <v>1152</v>
      </c>
      <c r="F16" s="16">
        <f>F17-'Sales'!E17</f>
        <v>715.250000000001</v>
      </c>
      <c r="G16" s="16">
        <v>669</v>
      </c>
      <c r="H16" s="16">
        <v>666</v>
      </c>
      <c r="I16" s="16">
        <f>G16+H16-C16-E16</f>
        <v>0</v>
      </c>
      <c r="J16" s="16">
        <f>C16-G16</f>
        <v>-486</v>
      </c>
      <c r="K16" s="16"/>
    </row>
    <row r="17" ht="20.05" customHeight="1">
      <c r="B17" s="26"/>
      <c r="C17" s="15">
        <v>192</v>
      </c>
      <c r="D17" s="16">
        <v>1309</v>
      </c>
      <c r="E17" s="16">
        <f>D17-C17</f>
        <v>1117</v>
      </c>
      <c r="F17" s="16">
        <f>F18-'Sales'!E18</f>
        <v>730.300000000001</v>
      </c>
      <c r="G17" s="16">
        <v>664</v>
      </c>
      <c r="H17" s="16">
        <v>645</v>
      </c>
      <c r="I17" s="16">
        <f>G17+H17-C17-E17</f>
        <v>0</v>
      </c>
      <c r="J17" s="16">
        <f>C17-G17</f>
        <v>-472</v>
      </c>
      <c r="K17" s="16"/>
    </row>
    <row r="18" ht="20.05" customHeight="1">
      <c r="B18" s="26"/>
      <c r="C18" s="15">
        <v>168</v>
      </c>
      <c r="D18" s="16">
        <v>1319</v>
      </c>
      <c r="E18" s="16">
        <f>D18-C18</f>
        <v>1151</v>
      </c>
      <c r="F18" s="16">
        <f>F19-'Sales'!E19</f>
        <v>745.350000000001</v>
      </c>
      <c r="G18" s="16">
        <v>664</v>
      </c>
      <c r="H18" s="16">
        <v>655</v>
      </c>
      <c r="I18" s="16">
        <f>G18+H18-C18-E18</f>
        <v>0</v>
      </c>
      <c r="J18" s="16">
        <f>C18-G18</f>
        <v>-496</v>
      </c>
      <c r="K18" s="16"/>
    </row>
    <row r="19" ht="20.05" customHeight="1">
      <c r="B19" s="26"/>
      <c r="C19" s="15">
        <v>243</v>
      </c>
      <c r="D19" s="16">
        <v>1325</v>
      </c>
      <c r="E19" s="16">
        <f>D19-C19</f>
        <v>1082</v>
      </c>
      <c r="F19" s="16">
        <f>F20-'Sales'!E20</f>
        <v>760.400000000001</v>
      </c>
      <c r="G19" s="16">
        <v>665</v>
      </c>
      <c r="H19" s="16">
        <v>660</v>
      </c>
      <c r="I19" s="16">
        <f>G19+H19-C19-E19</f>
        <v>0</v>
      </c>
      <c r="J19" s="16">
        <f>C19-G19</f>
        <v>-422</v>
      </c>
      <c r="K19" s="16"/>
    </row>
    <row r="20" ht="20.05" customHeight="1">
      <c r="B20" s="27">
        <v>2020</v>
      </c>
      <c r="C20" s="15">
        <v>241</v>
      </c>
      <c r="D20" s="16">
        <v>1297</v>
      </c>
      <c r="E20" s="16">
        <f>D20-C20</f>
        <v>1056</v>
      </c>
      <c r="F20" s="16">
        <f>F21-'Sales'!E21</f>
        <v>773.933333333334</v>
      </c>
      <c r="G20" s="16">
        <v>636</v>
      </c>
      <c r="H20" s="16">
        <v>661</v>
      </c>
      <c r="I20" s="16">
        <f>G20+H20-C20-E20</f>
        <v>0</v>
      </c>
      <c r="J20" s="16">
        <f>C20-G20</f>
        <v>-395</v>
      </c>
      <c r="K20" s="16"/>
    </row>
    <row r="21" ht="20.05" customHeight="1">
      <c r="B21" s="26"/>
      <c r="C21" s="15">
        <v>310</v>
      </c>
      <c r="D21" s="16">
        <v>1347</v>
      </c>
      <c r="E21" s="16">
        <f>D21-C21</f>
        <v>1037</v>
      </c>
      <c r="F21" s="16">
        <f>F22-'Sales'!E22</f>
        <v>787.466666666667</v>
      </c>
      <c r="G21" s="16">
        <v>652</v>
      </c>
      <c r="H21" s="16">
        <v>695</v>
      </c>
      <c r="I21" s="16">
        <f>G21+H21-C21-E21</f>
        <v>0</v>
      </c>
      <c r="J21" s="16">
        <f>C21-G21</f>
        <v>-342</v>
      </c>
      <c r="K21" s="16"/>
    </row>
    <row r="22" ht="20.05" customHeight="1">
      <c r="B22" s="26"/>
      <c r="C22" s="15">
        <v>283</v>
      </c>
      <c r="D22" s="16">
        <v>1310</v>
      </c>
      <c r="E22" s="16">
        <f>D22-C22</f>
        <v>1027</v>
      </c>
      <c r="F22" s="16">
        <f>1+800</f>
        <v>801</v>
      </c>
      <c r="G22" s="16">
        <v>648</v>
      </c>
      <c r="H22" s="16">
        <v>662</v>
      </c>
      <c r="I22" s="16">
        <f>G22+H22-C22-E22</f>
        <v>0</v>
      </c>
      <c r="J22" s="16">
        <f>C22-G22</f>
        <v>-365</v>
      </c>
      <c r="K22" s="16"/>
    </row>
    <row r="23" ht="20.05" customHeight="1">
      <c r="B23" s="26"/>
      <c r="C23" s="15">
        <v>272</v>
      </c>
      <c r="D23" s="16">
        <v>1343</v>
      </c>
      <c r="E23" s="16">
        <f>D23-C23</f>
        <v>1071</v>
      </c>
      <c r="F23" s="16">
        <f>1+813</f>
        <v>814</v>
      </c>
      <c r="G23" s="16">
        <v>672</v>
      </c>
      <c r="H23" s="16">
        <v>671</v>
      </c>
      <c r="I23" s="16">
        <f>G23+H23-C23-E23</f>
        <v>0</v>
      </c>
      <c r="J23" s="16">
        <f>C23-G23</f>
        <v>-400</v>
      </c>
      <c r="K23" s="16"/>
    </row>
    <row r="24" ht="20.05" customHeight="1">
      <c r="B24" s="27">
        <v>2021</v>
      </c>
      <c r="C24" s="15">
        <v>319</v>
      </c>
      <c r="D24" s="16">
        <v>1350</v>
      </c>
      <c r="E24" s="16">
        <f>D24-C24</f>
        <v>1031</v>
      </c>
      <c r="F24" s="16">
        <f>1+827</f>
        <v>828</v>
      </c>
      <c r="G24" s="16">
        <v>660</v>
      </c>
      <c r="H24" s="16">
        <v>690</v>
      </c>
      <c r="I24" s="16">
        <f>G24+H24-C24-E24</f>
        <v>0</v>
      </c>
      <c r="J24" s="16">
        <f>C24-G24</f>
        <v>-341</v>
      </c>
      <c r="K24" s="16"/>
    </row>
    <row r="25" ht="20.05" customHeight="1">
      <c r="B25" s="26"/>
      <c r="C25" s="15">
        <v>267</v>
      </c>
      <c r="D25" s="16">
        <v>1335</v>
      </c>
      <c r="E25" s="16">
        <f>D25-C25</f>
        <v>1068</v>
      </c>
      <c r="F25" s="16">
        <f>1+840</f>
        <v>841</v>
      </c>
      <c r="G25" s="16">
        <v>665</v>
      </c>
      <c r="H25" s="16">
        <v>670</v>
      </c>
      <c r="I25" s="16">
        <f>G25+H25-C25-E25</f>
        <v>0</v>
      </c>
      <c r="J25" s="16">
        <f>C25-G25</f>
        <v>-398</v>
      </c>
      <c r="K25" s="16"/>
    </row>
    <row r="26" ht="20.05" customHeight="1">
      <c r="B26" s="26"/>
      <c r="C26" s="15">
        <v>326</v>
      </c>
      <c r="D26" s="16">
        <v>1366</v>
      </c>
      <c r="E26" s="16">
        <f>D26-C26</f>
        <v>1040</v>
      </c>
      <c r="F26" s="16">
        <f>2+853</f>
        <v>855</v>
      </c>
      <c r="G26" s="16">
        <v>670</v>
      </c>
      <c r="H26" s="16">
        <v>696</v>
      </c>
      <c r="I26" s="16">
        <f>G26+H26-C26-E26</f>
        <v>0</v>
      </c>
      <c r="J26" s="16">
        <f>C26-G26</f>
        <v>-344</v>
      </c>
      <c r="K26" s="16"/>
    </row>
    <row r="27" ht="20.05" customHeight="1">
      <c r="B27" s="26"/>
      <c r="C27" s="15">
        <v>278</v>
      </c>
      <c r="D27" s="16">
        <v>1359</v>
      </c>
      <c r="E27" s="16">
        <f>D27-C27</f>
        <v>1081</v>
      </c>
      <c r="F27" s="16">
        <f>867+2</f>
        <v>869</v>
      </c>
      <c r="G27" s="16">
        <v>660</v>
      </c>
      <c r="H27" s="16">
        <v>699</v>
      </c>
      <c r="I27" s="16">
        <f>G27+H27-C27-E27</f>
        <v>0</v>
      </c>
      <c r="J27" s="16">
        <f>C27-G27</f>
        <v>-382</v>
      </c>
      <c r="K27" s="16"/>
    </row>
    <row r="28" ht="20.05" customHeight="1">
      <c r="B28" s="27">
        <v>2022</v>
      </c>
      <c r="C28" s="15">
        <f>C27+'Cashflow '!D28+'Cashflow '!E28+'Cashflow '!I28</f>
        <v>251.4</v>
      </c>
      <c r="D28" s="16">
        <v>1367</v>
      </c>
      <c r="E28" s="16">
        <f>D28-C28</f>
        <v>1115.6</v>
      </c>
      <c r="F28" s="16">
        <f>F27+'Sales'!E28</f>
        <v>883</v>
      </c>
      <c r="G28" s="16">
        <v>646</v>
      </c>
      <c r="H28" s="16">
        <f>D28-G28</f>
        <v>721</v>
      </c>
      <c r="I28" s="16">
        <f>G28+H28-C28-E28</f>
        <v>0</v>
      </c>
      <c r="J28" s="16">
        <f>C28-G28</f>
        <v>-394.6</v>
      </c>
      <c r="K28" s="16">
        <v>-305.9662442</v>
      </c>
    </row>
    <row r="29" ht="20.05" customHeight="1">
      <c r="B29" s="26"/>
      <c r="C29" s="15"/>
      <c r="D29" s="16"/>
      <c r="E29" s="16"/>
      <c r="F29" s="16"/>
      <c r="G29" s="16"/>
      <c r="H29" s="16"/>
      <c r="I29" s="16"/>
      <c r="J29" s="16"/>
      <c r="K29" s="16">
        <f>'Model'!F31</f>
        <v>-363.823659479268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3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4" customWidth="1"/>
    <col min="2" max="5" width="9.9375" style="34" customWidth="1"/>
    <col min="6" max="16384" width="16.3516" style="34" customWidth="1"/>
  </cols>
  <sheetData>
    <row r="1" ht="30.75" customHeight="1"/>
    <row r="2" ht="27.65" customHeight="1">
      <c r="B2" t="s" s="2">
        <v>53</v>
      </c>
      <c r="C2" s="2"/>
      <c r="D2" s="2"/>
      <c r="E2" s="2"/>
    </row>
    <row r="3" ht="32.25" customHeight="1">
      <c r="B3" s="4"/>
      <c r="C3" t="s" s="35">
        <v>54</v>
      </c>
      <c r="D3" t="s" s="35">
        <v>55</v>
      </c>
      <c r="E3" t="s" s="35">
        <v>56</v>
      </c>
    </row>
    <row r="4" ht="20.25" customHeight="1">
      <c r="B4" s="23">
        <v>2016</v>
      </c>
      <c r="C4" s="36"/>
      <c r="D4" s="37"/>
      <c r="E4" s="37"/>
    </row>
    <row r="5" ht="20.05" customHeight="1">
      <c r="B5" s="26"/>
      <c r="C5" s="38"/>
      <c r="D5" s="39"/>
      <c r="E5" s="39"/>
    </row>
    <row r="6" ht="20.05" customHeight="1">
      <c r="B6" s="26"/>
      <c r="C6" s="40">
        <v>1490</v>
      </c>
      <c r="D6" s="39"/>
      <c r="E6" s="39"/>
    </row>
    <row r="7" ht="20.05" customHeight="1">
      <c r="B7" s="26"/>
      <c r="C7" s="40">
        <v>1285</v>
      </c>
      <c r="D7" s="39"/>
      <c r="E7" s="39"/>
    </row>
    <row r="8" ht="20.05" customHeight="1">
      <c r="B8" s="27">
        <v>2017</v>
      </c>
      <c r="C8" s="40">
        <v>1300</v>
      </c>
      <c r="D8" s="39"/>
      <c r="E8" s="39"/>
    </row>
    <row r="9" ht="20.05" customHeight="1">
      <c r="B9" s="26"/>
      <c r="C9" s="40">
        <v>1200</v>
      </c>
      <c r="D9" s="39"/>
      <c r="E9" s="39"/>
    </row>
    <row r="10" ht="20.05" customHeight="1">
      <c r="B10" s="26"/>
      <c r="C10" s="40">
        <v>1125</v>
      </c>
      <c r="D10" s="39"/>
      <c r="E10" s="39"/>
    </row>
    <row r="11" ht="20.05" customHeight="1">
      <c r="B11" s="26"/>
      <c r="C11" s="40">
        <v>1300</v>
      </c>
      <c r="D11" s="39"/>
      <c r="E11" s="39"/>
    </row>
    <row r="12" ht="20.05" customHeight="1">
      <c r="B12" s="27">
        <v>2018</v>
      </c>
      <c r="C12" s="40">
        <v>1150</v>
      </c>
      <c r="D12" s="39"/>
      <c r="E12" s="39"/>
    </row>
    <row r="13" ht="20.05" customHeight="1">
      <c r="B13" s="26"/>
      <c r="C13" s="40">
        <v>1180</v>
      </c>
      <c r="D13" s="39"/>
      <c r="E13" s="39"/>
    </row>
    <row r="14" ht="20.05" customHeight="1">
      <c r="B14" s="26"/>
      <c r="C14" s="40">
        <v>950</v>
      </c>
      <c r="D14" s="39"/>
      <c r="E14" s="39"/>
    </row>
    <row r="15" ht="20.05" customHeight="1">
      <c r="B15" s="26"/>
      <c r="C15" s="40">
        <v>890</v>
      </c>
      <c r="D15" s="39"/>
      <c r="E15" s="39"/>
    </row>
    <row r="16" ht="20.05" customHeight="1">
      <c r="B16" s="27">
        <v>2019</v>
      </c>
      <c r="C16" s="40">
        <v>945</v>
      </c>
      <c r="D16" s="39"/>
      <c r="E16" s="39"/>
    </row>
    <row r="17" ht="20.05" customHeight="1">
      <c r="B17" s="26"/>
      <c r="C17" s="40">
        <v>870</v>
      </c>
      <c r="D17" s="39"/>
      <c r="E17" s="39"/>
    </row>
    <row r="18" ht="20.05" customHeight="1">
      <c r="B18" s="26"/>
      <c r="C18" s="40">
        <v>1160</v>
      </c>
      <c r="D18" s="39"/>
      <c r="E18" s="39"/>
    </row>
    <row r="19" ht="20.05" customHeight="1">
      <c r="B19" s="26"/>
      <c r="C19" s="40">
        <v>1000</v>
      </c>
      <c r="D19" s="39"/>
      <c r="E19" s="39"/>
    </row>
    <row r="20" ht="20.05" customHeight="1">
      <c r="B20" s="27">
        <v>2020</v>
      </c>
      <c r="C20" s="40">
        <v>600</v>
      </c>
      <c r="D20" s="39"/>
      <c r="E20" s="39"/>
    </row>
    <row r="21" ht="20.05" customHeight="1">
      <c r="B21" s="26"/>
      <c r="C21" s="40">
        <v>585</v>
      </c>
      <c r="D21" s="39"/>
      <c r="E21" s="39"/>
    </row>
    <row r="22" ht="20.05" customHeight="1">
      <c r="B22" s="26"/>
      <c r="C22" s="40">
        <v>570</v>
      </c>
      <c r="D22" s="39"/>
      <c r="E22" s="39"/>
    </row>
    <row r="23" ht="20.05" customHeight="1">
      <c r="B23" s="26"/>
      <c r="C23" s="40">
        <v>710</v>
      </c>
      <c r="D23" s="39"/>
      <c r="E23" s="39"/>
    </row>
    <row r="24" ht="20.05" customHeight="1">
      <c r="B24" s="27">
        <v>2021</v>
      </c>
      <c r="C24" s="15">
        <v>680</v>
      </c>
      <c r="D24" s="39"/>
      <c r="E24" s="39"/>
    </row>
    <row r="25" ht="20.05" customHeight="1">
      <c r="B25" s="26"/>
      <c r="C25" s="15">
        <v>645</v>
      </c>
      <c r="D25" s="39"/>
      <c r="E25" s="39"/>
    </row>
    <row r="26" ht="20.05" customHeight="1">
      <c r="B26" s="26"/>
      <c r="C26" s="15">
        <v>605</v>
      </c>
      <c r="D26" s="16"/>
      <c r="E26" s="16"/>
    </row>
    <row r="27" ht="20.05" customHeight="1">
      <c r="B27" s="26"/>
      <c r="C27" s="15">
        <v>615</v>
      </c>
      <c r="D27" s="39"/>
      <c r="E27" s="39"/>
    </row>
    <row r="28" ht="20.05" customHeight="1">
      <c r="B28" s="27">
        <v>2022</v>
      </c>
      <c r="C28" s="15">
        <v>645</v>
      </c>
      <c r="D28" s="39"/>
      <c r="E28" s="39"/>
    </row>
    <row r="29" ht="20.05" customHeight="1">
      <c r="B29" s="26"/>
      <c r="C29" s="15">
        <v>690</v>
      </c>
      <c r="D29" s="39">
        <v>899.629496586717</v>
      </c>
      <c r="E29" s="39"/>
    </row>
    <row r="30" ht="20.05" customHeight="1">
      <c r="B30" s="26"/>
      <c r="C30" s="15"/>
      <c r="D30" s="39">
        <f>'Model'!F45</f>
        <v>876.769207174746</v>
      </c>
      <c r="E30" s="16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