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 Cashflow" sheetId="3" r:id="rId6"/>
    <sheet name="Balance Sheet 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<sst xmlns="http://schemas.openxmlformats.org/spreadsheetml/2006/main" uniqueCount="68">
  <si>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</si>
  <si>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</si>
  <si>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</si>
  <si>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</si>
  <si>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</si>
  <si>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</si>
  <si>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</si>
  <si>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</si>
  <si>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</si>
  <si>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</si>
  <si>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</si>
  <si>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</si>
  <si>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</si>
  <si>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</si>
  <si>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</si>
  <si>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</si>
  <si>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</si>
  <si>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</si>
  <si>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Depreciation </t>
  </si>
  <si>
    <t>Provision</t>
  </si>
  <si>
    <t xml:space="preserve">Net profit </t>
  </si>
  <si>
    <t>Balance sheet</t>
  </si>
  <si>
    <t>Other assets</t>
  </si>
  <si>
    <t>Net other assets</t>
  </si>
  <si>
    <t xml:space="preserve">Liabilities </t>
  </si>
  <si>
    <t xml:space="preserve">Equity </t>
  </si>
  <si>
    <t xml:space="preserve">Check </t>
  </si>
  <si>
    <t xml:space="preserve">Valuation </t>
  </si>
  <si>
    <t xml:space="preserve">Capital </t>
  </si>
  <si>
    <t xml:space="preserve">Current value </t>
  </si>
  <si>
    <t>P/assets</t>
  </si>
  <si>
    <t>Yield</t>
  </si>
  <si>
    <t>Cashfkow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</si>
  <si>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</si>
  <si>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</si>
  <si>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</si>
  <si>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</si>
  <si>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</si>
  <si>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</si>
  <si>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</si>
  <si>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</si>
  <si>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Forecast</t>
  </si>
  <si>
    <t xml:space="preserve">Net income </t>
  </si>
  <si>
    <t>Sales to assets ratio</t>
  </si>
  <si>
    <t xml:space="preserve">Sales growth </t>
  </si>
  <si>
    <t>Costs</t>
  </si>
  <si>
    <t>Receipts</t>
  </si>
  <si>
    <t>Operating before working capital</t>
  </si>
  <si>
    <t>Capex</t>
  </si>
  <si>
    <t xml:space="preserve">Operating </t>
  </si>
  <si>
    <t xml:space="preserve">Investing </t>
  </si>
  <si>
    <t>Fee &amp; lease</t>
  </si>
  <si>
    <t xml:space="preserve">Beginning </t>
  </si>
  <si>
    <t>FX</t>
  </si>
  <si>
    <t xml:space="preserve">Free cashflow </t>
  </si>
  <si>
    <t>Capital</t>
  </si>
  <si>
    <t xml:space="preserve">  Cash</t>
  </si>
  <si>
    <t xml:space="preserve">Assets </t>
  </si>
  <si>
    <t>Other asset</t>
  </si>
  <si>
    <t>Depreciation</t>
  </si>
  <si>
    <t>Check</t>
  </si>
  <si>
    <t xml:space="preserve">Other assets growth </t>
  </si>
  <si>
    <t>Liabilities growth</t>
  </si>
  <si>
    <t>Share price</t>
  </si>
  <si>
    <t>NISP</t>
  </si>
  <si>
    <t xml:space="preserve">Previous target </t>
  </si>
  <si>
    <t xml:space="preserve">Total </t>
  </si>
  <si>
    <t>Total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</si>
</sst>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0%_);[Red]\(0%\)"/>
    <numFmt numFmtId="60" formatCode="#,##0%"/>
    <numFmt numFmtId="61" formatCode="#,##0.0%_);[Red]\(#,##0.0%\)"/>
    <numFmt numFmtId="62" formatCode="#,##0.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borderId="4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475522</xdr:colOff>
      <xdr:row>0</xdr:row>
      <xdr:rowOff>317110</xdr:rowOff>
    </xdr:from>
    <xdr:to>
      <xdr:col>12</xdr:col>
      <xdr:colOff>1177030</xdr:colOff>
      <xdr:row>42</xdr:row>
      <xdr:rowOff>188854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79222" y="317110"/>
          <a:ext cx="8169109" cy="1068960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43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3.01562" style="1" customWidth="1"/>
    <col min="2" max="2" width="14.7656" style="1" customWidth="1"/>
    <col min="3" max="6" width="9.41406" style="1" customWidth="1"/>
    <col min="7" max="16384" width="16.3516" style="1" customWidth="1"/>
  </cols>
  <sheetData>
    <row r="1" ht="27.65" customHeight="1">
      <c r="B1" t="s" s="2">
        <v>0</v>
      </c>
      <c r="C1" s="2"/>
      <c r="D1" s="2"/>
      <c r="E1" s="2"/>
      <c r="F1" s="2"/>
    </row>
    <row r="2" ht="20.05" customHeight="1">
      <c r="B2" t="s" s="3">
        <v>1</v>
      </c>
      <c r="C2" s="4"/>
      <c r="D2" s="4"/>
      <c r="E2" s="4"/>
      <c r="F2" t="s" s="5">
        <v>2</v>
      </c>
    </row>
    <row r="3" ht="20.3" customHeight="1">
      <c r="B3" t="s" s="6">
        <v>3</v>
      </c>
      <c r="C3" s="7">
        <f>AVERAGE('Sales'!I12:I15)</f>
        <v>-0.00790761264668958</v>
      </c>
      <c r="D3" s="8"/>
      <c r="E3" s="8"/>
      <c r="F3" s="8">
        <f>AVERAGE(C4:F4)</f>
        <v>0.0175</v>
      </c>
    </row>
    <row r="4" ht="20.1" customHeight="1">
      <c r="B4" t="s" s="9">
        <v>4</v>
      </c>
      <c r="C4" s="10">
        <v>-0.01</v>
      </c>
      <c r="D4" s="11">
        <v>0.01</v>
      </c>
      <c r="E4" s="11">
        <v>0.02</v>
      </c>
      <c r="F4" s="11">
        <v>0.05</v>
      </c>
    </row>
    <row r="5" ht="20.1" customHeight="1">
      <c r="B5" t="s" s="9">
        <v>5</v>
      </c>
      <c r="C5" s="12">
        <f>'Sales'!C15*(1+C4)</f>
        <v>3146.22</v>
      </c>
      <c r="D5" s="13">
        <f>C5*(1+D4)</f>
        <v>3177.6822</v>
      </c>
      <c r="E5" s="13">
        <f>D5*(1+E4)</f>
        <v>3241.235844</v>
      </c>
      <c r="F5" s="13">
        <f>E5*(1+F4)</f>
        <v>3403.2976362</v>
      </c>
    </row>
    <row r="6" ht="20.1" customHeight="1">
      <c r="B6" t="s" s="9">
        <v>6</v>
      </c>
      <c r="C6" s="14">
        <f>AVERAGE('Sales'!J14:J15)</f>
        <v>-0.5680225261910929</v>
      </c>
      <c r="D6" s="15">
        <f>C6</f>
        <v>-0.5680225261910929</v>
      </c>
      <c r="E6" s="15">
        <f>D6</f>
        <v>-0.5680225261910929</v>
      </c>
      <c r="F6" s="15">
        <f>E6</f>
        <v>-0.5680225261910929</v>
      </c>
    </row>
    <row r="7" ht="20.1" customHeight="1">
      <c r="B7" t="s" s="9">
        <v>7</v>
      </c>
      <c r="C7" s="16">
        <f>C6*C5</f>
        <v>-1787.123832352940</v>
      </c>
      <c r="D7" s="17">
        <f>D6*D5</f>
        <v>-1804.995070676470</v>
      </c>
      <c r="E7" s="17">
        <f>E6*E5</f>
        <v>-1841.09497209</v>
      </c>
      <c r="F7" s="17">
        <f>F6*F5</f>
        <v>-1933.1497206945</v>
      </c>
    </row>
    <row r="8" ht="20.1" customHeight="1">
      <c r="B8" t="s" s="9">
        <v>8</v>
      </c>
      <c r="C8" s="16">
        <f>C5+C7</f>
        <v>1359.096167647060</v>
      </c>
      <c r="D8" s="17">
        <f>D5+D7</f>
        <v>1372.687129323530</v>
      </c>
      <c r="E8" s="17">
        <f>E5+E7</f>
        <v>1400.14087191</v>
      </c>
      <c r="F8" s="17">
        <f>F5+F7</f>
        <v>1470.1479155055</v>
      </c>
    </row>
    <row r="9" ht="20.05" customHeight="1">
      <c r="B9" t="s" s="9">
        <v>9</v>
      </c>
      <c r="C9" s="16">
        <f>AVERAGE(' Cashflow'!F12:F15)</f>
        <v>-95.25</v>
      </c>
      <c r="D9" s="17">
        <f>C9</f>
        <v>-95.25</v>
      </c>
      <c r="E9" s="17">
        <f>D9</f>
        <v>-95.25</v>
      </c>
      <c r="F9" s="17">
        <f>E9</f>
        <v>-95.25</v>
      </c>
    </row>
    <row r="10" ht="20.1" customHeight="1">
      <c r="B10" t="s" s="9">
        <v>10</v>
      </c>
      <c r="C10" s="16">
        <f>C11+C13</f>
        <v>-218.578850294118</v>
      </c>
      <c r="D10" s="17">
        <f>D11+D13</f>
        <v>-222.656138797059</v>
      </c>
      <c r="E10" s="17">
        <f>E11+E13</f>
        <v>-230.892261573</v>
      </c>
      <c r="F10" s="17">
        <f>F11+F13</f>
        <v>-251.894374651650</v>
      </c>
    </row>
    <row r="11" ht="20.1" customHeight="1">
      <c r="B11" t="s" s="9">
        <v>11</v>
      </c>
      <c r="C11" s="16">
        <f>IF(C20&gt;0,-C20*0.3,0)</f>
        <v>-218.578850294118</v>
      </c>
      <c r="D11" s="17">
        <f>IF(D20&gt;0,-D20*0.3,0)</f>
        <v>-222.656138797059</v>
      </c>
      <c r="E11" s="17">
        <f>IF(E20&gt;0,-E20*0.3,0)</f>
        <v>-230.892261573</v>
      </c>
      <c r="F11" s="17">
        <f>IF(F20&gt;0,-F20*0.3,0)</f>
        <v>-251.894374651650</v>
      </c>
    </row>
    <row r="12" ht="20.05" customHeight="1">
      <c r="B12" t="s" s="9">
        <v>12</v>
      </c>
      <c r="C12" s="16">
        <f>C8+C9+C11</f>
        <v>1045.267317352940</v>
      </c>
      <c r="D12" s="17">
        <f>D8+D9+D11</f>
        <v>1054.780990526470</v>
      </c>
      <c r="E12" s="17">
        <f>E8+E9+E11</f>
        <v>1073.998610337</v>
      </c>
      <c r="F12" s="17">
        <f>F8+F9+F11</f>
        <v>1123.003540853850</v>
      </c>
    </row>
    <row r="13" ht="20.1" customHeight="1">
      <c r="B13" t="s" s="9">
        <v>13</v>
      </c>
      <c r="C13" s="16">
        <f>-MIN(0,C12)</f>
        <v>0</v>
      </c>
      <c r="D13" s="17">
        <f>-MIN(C26,D12)</f>
        <v>0</v>
      </c>
      <c r="E13" s="17">
        <f>-MIN(D26,E12)</f>
        <v>0</v>
      </c>
      <c r="F13" s="17">
        <f>-MIN(E26,F12)</f>
        <v>0</v>
      </c>
    </row>
    <row r="14" ht="20.1" customHeight="1">
      <c r="B14" t="s" s="9">
        <v>14</v>
      </c>
      <c r="C14" s="16">
        <f>'Balance Sheet '!C15</f>
        <v>12061.35</v>
      </c>
      <c r="D14" s="17">
        <f>C16</f>
        <v>13106.6173173529</v>
      </c>
      <c r="E14" s="17">
        <f>D16</f>
        <v>14161.3983078794</v>
      </c>
      <c r="F14" s="17">
        <f>E16</f>
        <v>15235.3969182164</v>
      </c>
    </row>
    <row r="15" ht="20.1" customHeight="1">
      <c r="B15" t="s" s="9">
        <v>15</v>
      </c>
      <c r="C15" s="16">
        <f>C8+C9+C10</f>
        <v>1045.267317352940</v>
      </c>
      <c r="D15" s="17">
        <f>D8+D9+D10</f>
        <v>1054.780990526470</v>
      </c>
      <c r="E15" s="17">
        <f>E8+E9+E10</f>
        <v>1073.998610337</v>
      </c>
      <c r="F15" s="17">
        <f>F8+F9+F10</f>
        <v>1123.003540853850</v>
      </c>
    </row>
    <row r="16" ht="20.1" customHeight="1">
      <c r="B16" t="s" s="9">
        <v>16</v>
      </c>
      <c r="C16" s="16">
        <f>C14+C15</f>
        <v>13106.6173173529</v>
      </c>
      <c r="D16" s="17">
        <f>D14+D15</f>
        <v>14161.3983078794</v>
      </c>
      <c r="E16" s="17">
        <f>E14+E15</f>
        <v>15235.3969182164</v>
      </c>
      <c r="F16" s="17">
        <f>F14+F15</f>
        <v>16358.4004590703</v>
      </c>
    </row>
    <row r="17" ht="20.1" customHeight="1">
      <c r="B17" t="s" s="18">
        <v>17</v>
      </c>
      <c r="C17" s="19"/>
      <c r="D17" s="20"/>
      <c r="E17" s="20"/>
      <c r="F17" s="20"/>
    </row>
    <row r="18" ht="20.1" customHeight="1">
      <c r="B18" t="s" s="9">
        <v>18</v>
      </c>
      <c r="C18" s="16">
        <f>-AVERAGE('Sales'!F15)</f>
        <v>-59.25</v>
      </c>
      <c r="D18" s="17">
        <f>C18</f>
        <v>-59.25</v>
      </c>
      <c r="E18" s="17">
        <f>D18</f>
        <v>-59.25</v>
      </c>
      <c r="F18" s="17">
        <f>E18</f>
        <v>-59.25</v>
      </c>
    </row>
    <row r="19" ht="20.1" customHeight="1">
      <c r="B19" t="s" s="9">
        <v>19</v>
      </c>
      <c r="C19" s="16">
        <f>-AVERAGE('Sales'!E12:E15)</f>
        <v>-571.25</v>
      </c>
      <c r="D19" s="17">
        <f>C19</f>
        <v>-571.25</v>
      </c>
      <c r="E19" s="17">
        <f>D19</f>
        <v>-571.25</v>
      </c>
      <c r="F19" s="17">
        <f>E19</f>
        <v>-571.25</v>
      </c>
    </row>
    <row r="20" ht="20.1" customHeight="1">
      <c r="B20" t="s" s="9">
        <v>20</v>
      </c>
      <c r="C20" s="16">
        <f>C5+C7+C18+C19</f>
        <v>728.596167647060</v>
      </c>
      <c r="D20" s="17">
        <f>D5+D7+D18+D19</f>
        <v>742.187129323530</v>
      </c>
      <c r="E20" s="17">
        <f>E5+E7+E18+E19</f>
        <v>769.64087191</v>
      </c>
      <c r="F20" s="17">
        <f>F5+F7+F18+F19</f>
        <v>839.6479155055</v>
      </c>
    </row>
    <row r="21" ht="20.1" customHeight="1">
      <c r="B21" t="s" s="18">
        <v>21</v>
      </c>
      <c r="C21" s="19"/>
      <c r="D21" s="20"/>
      <c r="E21" s="20"/>
      <c r="F21" s="20"/>
    </row>
    <row r="22" ht="20.1" customHeight="1">
      <c r="B22" t="s" s="9">
        <v>22</v>
      </c>
      <c r="C22" s="16">
        <f>'Balance Sheet '!E15+'Balance Sheet '!F15-C9</f>
        <v>203618.9</v>
      </c>
      <c r="D22" s="17">
        <f>C22-D9</f>
        <v>203714.15</v>
      </c>
      <c r="E22" s="17">
        <f>D22-E9</f>
        <v>203809.4</v>
      </c>
      <c r="F22" s="17">
        <f>E22-F9</f>
        <v>203904.65</v>
      </c>
    </row>
    <row r="23" ht="20.1" customHeight="1">
      <c r="B23" t="s" s="9">
        <v>18</v>
      </c>
      <c r="C23" s="16">
        <f>'Balance Sheet '!F15-C18-C19</f>
        <v>1819.5</v>
      </c>
      <c r="D23" s="17">
        <f>C23-D18-D19</f>
        <v>2450</v>
      </c>
      <c r="E23" s="17">
        <f>D23-E18-E19</f>
        <v>3080.5</v>
      </c>
      <c r="F23" s="17">
        <f>E23-F18-F19</f>
        <v>3711</v>
      </c>
    </row>
    <row r="24" ht="20.1" customHeight="1">
      <c r="B24" t="s" s="9">
        <v>23</v>
      </c>
      <c r="C24" s="16">
        <f>C22-C23</f>
        <v>201799.4</v>
      </c>
      <c r="D24" s="17">
        <f>D22-D23</f>
        <v>201264.15</v>
      </c>
      <c r="E24" s="17">
        <f>E22-E23</f>
        <v>200728.9</v>
      </c>
      <c r="F24" s="17">
        <f>F22-F23</f>
        <v>200193.65</v>
      </c>
    </row>
    <row r="25" ht="20.1" customHeight="1">
      <c r="B25" t="s" s="9">
        <v>24</v>
      </c>
      <c r="C25" s="16">
        <f>'Balance Sheet '!G15</f>
        <v>182068</v>
      </c>
      <c r="D25" s="17">
        <f>C25</f>
        <v>182068</v>
      </c>
      <c r="E25" s="17">
        <f>D25</f>
        <v>182068</v>
      </c>
      <c r="F25" s="17">
        <f>E25</f>
        <v>182068</v>
      </c>
    </row>
    <row r="26" ht="20.1" customHeight="1">
      <c r="B26" t="s" s="9">
        <v>13</v>
      </c>
      <c r="C26" s="16">
        <f>C13</f>
        <v>0</v>
      </c>
      <c r="D26" s="17">
        <f>C26+D13</f>
        <v>0</v>
      </c>
      <c r="E26" s="17">
        <f>D26+E13</f>
        <v>0</v>
      </c>
      <c r="F26" s="17">
        <f>E26+F13</f>
        <v>0</v>
      </c>
    </row>
    <row r="27" ht="20.1" customHeight="1">
      <c r="B27" t="s" s="9">
        <v>25</v>
      </c>
      <c r="C27" s="16">
        <f>'Balance Sheet '!H15+C20+C11</f>
        <v>32838.0173173529</v>
      </c>
      <c r="D27" s="17">
        <f>C27+D20+D11</f>
        <v>33357.5483078794</v>
      </c>
      <c r="E27" s="17">
        <f>D27+E20+E11</f>
        <v>33896.2969182164</v>
      </c>
      <c r="F27" s="17">
        <f>E27+F20+F11</f>
        <v>34484.0504590703</v>
      </c>
    </row>
    <row r="28" ht="20.1" customHeight="1">
      <c r="B28" t="s" s="9">
        <v>26</v>
      </c>
      <c r="C28" s="16">
        <f>C25+C26+C27-C16-C24</f>
        <v>0</v>
      </c>
      <c r="D28" s="17">
        <f>D25+D26+D27-D16-D24</f>
        <v>0</v>
      </c>
      <c r="E28" s="17">
        <f>E25+E26+E27-E16-E24</f>
        <v>0</v>
      </c>
      <c r="F28" s="17">
        <f>F25+F26+F27-F16-F24</f>
        <v>0</v>
      </c>
    </row>
    <row r="29" ht="20.1" customHeight="1">
      <c r="B29" t="s" s="18">
        <v>27</v>
      </c>
      <c r="C29" s="16"/>
      <c r="D29" s="17"/>
      <c r="E29" s="17"/>
      <c r="F29" s="17"/>
    </row>
    <row r="30" ht="20.1" customHeight="1">
      <c r="B30" t="s" s="9">
        <v>28</v>
      </c>
      <c r="C30" s="16">
        <f>' Cashflow'!R15-C10</f>
        <v>1850.528850294120</v>
      </c>
      <c r="D30" s="17">
        <f>C30-D10</f>
        <v>2073.184989091180</v>
      </c>
      <c r="E30" s="17">
        <f>D30-E10</f>
        <v>2304.077250664180</v>
      </c>
      <c r="F30" s="17">
        <f>E30-F10</f>
        <v>2555.971625315830</v>
      </c>
    </row>
    <row r="31" ht="20.1" customHeight="1">
      <c r="B31" t="s" s="9">
        <v>29</v>
      </c>
      <c r="C31" s="16"/>
      <c r="D31" s="17"/>
      <c r="E31" s="17"/>
      <c r="F31" s="17">
        <v>14680</v>
      </c>
    </row>
    <row r="32" ht="20.1" customHeight="1">
      <c r="B32" t="s" s="9">
        <v>30</v>
      </c>
      <c r="C32" s="16"/>
      <c r="D32" s="17"/>
      <c r="E32" s="17"/>
      <c r="F32" s="21">
        <f>F31/(F16+F24)</f>
        <v>0.06778970676509299</v>
      </c>
    </row>
    <row r="33" ht="20.1" customHeight="1">
      <c r="B33" t="s" s="9">
        <v>31</v>
      </c>
      <c r="C33" s="16"/>
      <c r="D33" s="17"/>
      <c r="E33" s="17"/>
      <c r="F33" s="15">
        <f>-(C11+D11+E11+F11)/F31</f>
        <v>0.0629442524057103</v>
      </c>
    </row>
    <row r="34" ht="20.1" customHeight="1">
      <c r="B34" t="s" s="9">
        <v>32</v>
      </c>
      <c r="C34" s="16"/>
      <c r="D34" s="17"/>
      <c r="E34" s="17"/>
      <c r="F34" s="17">
        <f>SUM(C8:F9)</f>
        <v>5221.072084386090</v>
      </c>
    </row>
    <row r="35" ht="20.1" customHeight="1">
      <c r="B35" t="s" s="9">
        <v>27</v>
      </c>
      <c r="C35" s="16"/>
      <c r="D35" s="17"/>
      <c r="E35" s="17"/>
      <c r="F35" s="17">
        <f>F31/F34</f>
        <v>2.81168307250562</v>
      </c>
    </row>
    <row r="36" ht="20.1" customHeight="1">
      <c r="B36" t="s" s="9">
        <v>33</v>
      </c>
      <c r="C36" s="16"/>
      <c r="D36" s="17"/>
      <c r="E36" s="17"/>
      <c r="F36" s="17">
        <v>3.5</v>
      </c>
    </row>
    <row r="37" ht="20.1" customHeight="1">
      <c r="B37" t="s" s="9">
        <v>34</v>
      </c>
      <c r="C37" s="16"/>
      <c r="D37" s="17"/>
      <c r="E37" s="17"/>
      <c r="F37" s="17">
        <f>F34*F36</f>
        <v>18273.7522953513</v>
      </c>
    </row>
    <row r="38" ht="20.1" customHeight="1">
      <c r="B38" t="s" s="9">
        <v>35</v>
      </c>
      <c r="C38" s="12"/>
      <c r="D38" s="13"/>
      <c r="E38" s="13"/>
      <c r="F38" s="13">
        <f>F31/F40</f>
        <v>22.9375</v>
      </c>
    </row>
    <row r="39" ht="20.1" customHeight="1">
      <c r="B39" t="s" s="9">
        <v>36</v>
      </c>
      <c r="C39" s="12"/>
      <c r="D39" s="13"/>
      <c r="E39" s="13"/>
      <c r="F39" s="13">
        <f>F37/F38</f>
        <v>796.675849388613</v>
      </c>
    </row>
    <row r="40" ht="20.1" customHeight="1">
      <c r="B40" t="s" s="9">
        <v>37</v>
      </c>
      <c r="C40" s="12"/>
      <c r="D40" s="13"/>
      <c r="E40" s="13"/>
      <c r="F40" s="13">
        <f>'Share price'!C16</f>
        <v>640</v>
      </c>
    </row>
    <row r="41" ht="20.1" customHeight="1">
      <c r="B41" t="s" s="9">
        <v>38</v>
      </c>
      <c r="C41" s="12"/>
      <c r="D41" s="13"/>
      <c r="E41" s="13"/>
      <c r="F41" s="15">
        <f>F39/F40-1</f>
        <v>0.244806014669708</v>
      </c>
    </row>
    <row r="42" ht="20.1" customHeight="1">
      <c r="B42" t="s" s="9">
        <v>39</v>
      </c>
      <c r="C42" s="12"/>
      <c r="D42" s="13"/>
      <c r="E42" s="13"/>
      <c r="F42" s="15">
        <f>'Sales'!C15/'Sales'!C11-1</f>
        <v>-0.0352155434122647</v>
      </c>
    </row>
    <row r="43" ht="20.1" customHeight="1">
      <c r="B43" t="s" s="9">
        <v>40</v>
      </c>
      <c r="C43" s="12"/>
      <c r="D43" s="13"/>
      <c r="E43" s="13"/>
      <c r="F43" s="15">
        <f>('Sales'!D9+'Sales'!D15+'Sales'!D10+'Sales'!D11+'Sales'!D12+'Sales'!D13+'Sales'!D14)/('Sales'!C9+'Sales'!C10+'Sales'!C11+'Sales'!C12+'Sales'!C13+'Sales'!C15+'Sales'!C14)-1</f>
        <v>-1</v>
      </c>
    </row>
  </sheetData>
  <mergeCells count="1">
    <mergeCell ref="B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1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11719" style="22" customWidth="1"/>
    <col min="2" max="2" width="9.92969" style="22" customWidth="1"/>
    <col min="3" max="5" width="9.30469" style="22" customWidth="1"/>
    <col min="6" max="10" width="10.5312" style="22" customWidth="1"/>
    <col min="11" max="16384" width="16.3516" style="22" customWidth="1"/>
  </cols>
  <sheetData>
    <row r="1" ht="76.1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44.25" customHeight="1">
      <c r="B3" t="s" s="5">
        <v>1</v>
      </c>
      <c r="C3" t="s" s="5">
        <v>5</v>
      </c>
      <c r="D3" t="s" s="5">
        <v>41</v>
      </c>
      <c r="E3" t="s" s="5">
        <v>19</v>
      </c>
      <c r="F3" t="s" s="5">
        <v>18</v>
      </c>
      <c r="G3" t="s" s="5">
        <v>42</v>
      </c>
      <c r="H3" t="s" s="5">
        <v>43</v>
      </c>
      <c r="I3" t="s" s="5">
        <v>44</v>
      </c>
      <c r="J3" t="s" s="5">
        <v>45</v>
      </c>
    </row>
    <row r="4" ht="20.25" customHeight="1">
      <c r="B4" s="23">
        <v>2019</v>
      </c>
      <c r="C4" s="24">
        <f>3197+110+230</f>
        <v>3537</v>
      </c>
      <c r="D4" s="25"/>
      <c r="E4" s="25">
        <f>96</f>
        <v>96</v>
      </c>
      <c r="F4" s="25">
        <v>50.25</v>
      </c>
      <c r="G4" s="25">
        <v>765</v>
      </c>
      <c r="H4" s="26">
        <f>C4/'Balance Sheet '!E4</f>
        <v>0.021556163648885</v>
      </c>
      <c r="I4" s="27"/>
      <c r="J4" s="27">
        <f>(G4+E4-C4+F4)/C4</f>
        <v>-0.74236641221374</v>
      </c>
    </row>
    <row r="5" ht="20.05" customHeight="1">
      <c r="B5" s="28"/>
      <c r="C5" s="16">
        <f>6615+213+437-C4</f>
        <v>3728</v>
      </c>
      <c r="D5" s="17"/>
      <c r="E5" s="17">
        <f>265+8-E4</f>
        <v>177</v>
      </c>
      <c r="F5" s="17">
        <v>50.25</v>
      </c>
      <c r="G5" s="17">
        <f>1536-G4</f>
        <v>771</v>
      </c>
      <c r="H5" s="29">
        <f>C5/'Balance Sheet '!E5</f>
        <v>0.0226546814003121</v>
      </c>
      <c r="I5" s="15">
        <f>C5/C4-1</f>
        <v>0.0540005654509471</v>
      </c>
      <c r="J5" s="15">
        <f>(G5+E5-C5+F5)/C5</f>
        <v>-0.732229077253219</v>
      </c>
    </row>
    <row r="6" ht="20.05" customHeight="1">
      <c r="B6" s="28"/>
      <c r="C6" s="16">
        <f>9905+310+654-C5-C4</f>
        <v>3604</v>
      </c>
      <c r="D6" s="17"/>
      <c r="E6" s="17">
        <f>445+8-E5-E4</f>
        <v>180</v>
      </c>
      <c r="F6" s="17">
        <v>50.25</v>
      </c>
      <c r="G6" s="17">
        <f>2220-G5-G4</f>
        <v>684</v>
      </c>
      <c r="H6" s="29">
        <f>C6/'Balance Sheet '!E6</f>
        <v>0.0223971124876953</v>
      </c>
      <c r="I6" s="15">
        <f>C6/C5-1</f>
        <v>-0.0332618025751073</v>
      </c>
      <c r="J6" s="15">
        <f>(G6+E6-C6+F6)/C6</f>
        <v>-0.7463235294117651</v>
      </c>
    </row>
    <row r="7" ht="20.05" customHeight="1">
      <c r="B7" s="28"/>
      <c r="C7" s="16">
        <f>13094+402+865-C6-C5-C4</f>
        <v>3492</v>
      </c>
      <c r="D7" s="17"/>
      <c r="E7" s="17">
        <f>661+34-E6-E5-E4</f>
        <v>242</v>
      </c>
      <c r="F7" s="17">
        <v>50.25</v>
      </c>
      <c r="G7" s="17">
        <f>2939-G6-G5-G4</f>
        <v>719</v>
      </c>
      <c r="H7" s="29">
        <f>C7/'Balance Sheet '!E7</f>
        <v>0.0216685664927762</v>
      </c>
      <c r="I7" s="15">
        <f>C7/C6-1</f>
        <v>-0.0310765815760266</v>
      </c>
      <c r="J7" s="15">
        <f>(G7+E7-C7+F7)/C7</f>
        <v>-0.7104095074455899</v>
      </c>
    </row>
    <row r="8" ht="20.05" customHeight="1">
      <c r="B8" s="30">
        <v>2020</v>
      </c>
      <c r="C8" s="16">
        <f>3151+107+209</f>
        <v>3467</v>
      </c>
      <c r="D8" s="17"/>
      <c r="E8" s="17">
        <f>160+85</f>
        <v>245</v>
      </c>
      <c r="F8" s="17">
        <v>53.25</v>
      </c>
      <c r="G8" s="17">
        <v>791</v>
      </c>
      <c r="H8" s="29">
        <f>C8/'Balance Sheet '!E8</f>
        <v>0.0196544512768591</v>
      </c>
      <c r="I8" s="15">
        <f>C8/C7-1</f>
        <v>-0.00715922107674685</v>
      </c>
      <c r="J8" s="15">
        <f>(G8+E8-C8+F8)/C8</f>
        <v>-0.685823478511682</v>
      </c>
    </row>
    <row r="9" ht="20.05" customHeight="1">
      <c r="B9" s="28"/>
      <c r="C9" s="16">
        <f>6109+209+358-C8</f>
        <v>3209</v>
      </c>
      <c r="D9" s="17"/>
      <c r="E9" s="17">
        <f>413+85-E8</f>
        <v>253</v>
      </c>
      <c r="F9" s="17">
        <v>53.25</v>
      </c>
      <c r="G9" s="17">
        <f>1563-G8</f>
        <v>772</v>
      </c>
      <c r="H9" s="29">
        <f>C9/'Balance Sheet '!E9</f>
        <v>0.0191432258095306</v>
      </c>
      <c r="I9" s="15">
        <f>C9/C8-1</f>
        <v>-0.0744159215460052</v>
      </c>
      <c r="J9" s="15">
        <f>(G9+E9-C9+F9)/C9</f>
        <v>-0.663991897787473</v>
      </c>
    </row>
    <row r="10" ht="20.05" customHeight="1">
      <c r="B10" s="28"/>
      <c r="C10" s="16">
        <f>9085+303+528-C9-C8</f>
        <v>3240</v>
      </c>
      <c r="D10" s="17"/>
      <c r="E10" s="17">
        <f>1289+85-E9-E8</f>
        <v>876</v>
      </c>
      <c r="F10" s="17">
        <v>53.25</v>
      </c>
      <c r="G10" s="17">
        <f>1946-G9-G8</f>
        <v>383</v>
      </c>
      <c r="H10" s="29">
        <f>C10/'Balance Sheet '!E10</f>
        <v>0.0173300028348461</v>
      </c>
      <c r="I10" s="15">
        <f>C10/C9-1</f>
        <v>0.00966033032097227</v>
      </c>
      <c r="J10" s="15">
        <f>(G10+E10-C10+F10)/C10</f>
        <v>-0.594984567901235</v>
      </c>
    </row>
    <row r="11" ht="20.05" customHeight="1">
      <c r="B11" s="28"/>
      <c r="C11" s="16">
        <f>12087+398+725-C10-C9-C8</f>
        <v>3294</v>
      </c>
      <c r="D11" s="17"/>
      <c r="E11" s="17">
        <f>2371+85-E10-E9-E8</f>
        <v>1082</v>
      </c>
      <c r="F11" s="17">
        <v>53.25</v>
      </c>
      <c r="G11" s="17">
        <f>2102-G10-G9-G8</f>
        <v>156</v>
      </c>
      <c r="H11" s="29">
        <f>C11/'Balance Sheet '!E11</f>
        <v>0.0167511598423743</v>
      </c>
      <c r="I11" s="15">
        <f>C11/C10-1</f>
        <v>0.0166666666666667</v>
      </c>
      <c r="J11" s="15">
        <f>(G11+E11-C11+F11)/C11</f>
        <v>-0.607999392835458</v>
      </c>
    </row>
    <row r="12" ht="20.05" customHeight="1">
      <c r="B12" s="30">
        <v>2021</v>
      </c>
      <c r="C12" s="16">
        <f>2962+96+186</f>
        <v>3244</v>
      </c>
      <c r="D12" s="17"/>
      <c r="E12" s="17">
        <v>664</v>
      </c>
      <c r="F12" s="17">
        <v>59.25</v>
      </c>
      <c r="G12" s="17">
        <v>515</v>
      </c>
      <c r="H12" s="29">
        <f>C12/'Balance Sheet '!E12</f>
        <v>0.0164548852596387</v>
      </c>
      <c r="I12" s="15">
        <f>C12/C11-1</f>
        <v>-0.0151791135397693</v>
      </c>
      <c r="J12" s="15">
        <f>(G12+E12-C12+F12)/C12</f>
        <v>-0.618295314426634</v>
      </c>
    </row>
    <row r="13" ht="20.05" customHeight="1">
      <c r="B13" s="28"/>
      <c r="C13" s="16">
        <f>5780+186+402-C12</f>
        <v>3124</v>
      </c>
      <c r="D13" s="17"/>
      <c r="E13" s="17">
        <f>786-E12</f>
        <v>122</v>
      </c>
      <c r="F13" s="17">
        <v>59.25</v>
      </c>
      <c r="G13" s="17">
        <f>1473-G12</f>
        <v>958</v>
      </c>
      <c r="H13" s="29">
        <f>C13/'Balance Sheet '!E13</f>
        <v>0.0162010590845987</v>
      </c>
      <c r="I13" s="15">
        <f>C13/C12-1</f>
        <v>-0.0369913686806412</v>
      </c>
      <c r="J13" s="15">
        <f>(G13+E13-C13+F13)/C13</f>
        <v>-0.635323303457106</v>
      </c>
    </row>
    <row r="14" ht="20.05" customHeight="1">
      <c r="B14" s="28"/>
      <c r="C14" s="16">
        <f>8441+271+631-C13-C12</f>
        <v>2975</v>
      </c>
      <c r="D14" s="17"/>
      <c r="E14" s="17">
        <f>1354-E13-E12</f>
        <v>568</v>
      </c>
      <c r="F14" s="17">
        <v>59.25</v>
      </c>
      <c r="G14" s="17">
        <f>2035-G13-G12</f>
        <v>562</v>
      </c>
      <c r="H14" s="29">
        <f>C14/'Balance Sheet '!E14</f>
        <v>0.0152971831329917</v>
      </c>
      <c r="I14" s="15">
        <f>C14/C13-1</f>
        <v>-0.0476952624839949</v>
      </c>
      <c r="J14" s="15">
        <f>(G14+E14-C14+F14)/C14</f>
        <v>-0.600252100840336</v>
      </c>
    </row>
    <row r="15" ht="20.05" customHeight="1">
      <c r="B15" s="28"/>
      <c r="C15" s="16">
        <f>11216+354+951-C14-C13-C12</f>
        <v>3178</v>
      </c>
      <c r="D15" s="17"/>
      <c r="E15" s="17">
        <f>2285-E14-E13-E12</f>
        <v>931</v>
      </c>
      <c r="F15" s="17">
        <v>59.25</v>
      </c>
      <c r="G15" s="17">
        <f>2520-G14-G13-G12</f>
        <v>485</v>
      </c>
      <c r="H15" s="29">
        <f>C15/'Balance Sheet '!E15</f>
        <v>0.0157066523207963</v>
      </c>
      <c r="I15" s="15">
        <f>C15/C14-1</f>
        <v>0.0682352941176471</v>
      </c>
      <c r="J15" s="15">
        <f>(G15+E15-C15+F15)/C15</f>
        <v>-0.53579295154185</v>
      </c>
    </row>
    <row r="16" ht="20.05" customHeight="1">
      <c r="B16" s="30">
        <v>2022</v>
      </c>
      <c r="C16" s="16"/>
      <c r="D16" s="17">
        <f>'Model'!C5</f>
        <v>3146.22</v>
      </c>
      <c r="E16" s="17"/>
      <c r="F16" s="17"/>
      <c r="G16" s="17"/>
      <c r="H16" s="31"/>
      <c r="I16" s="11"/>
      <c r="J16" s="11">
        <f>'Model'!C6</f>
        <v>-0.5680225261910929</v>
      </c>
    </row>
    <row r="17" ht="20.05" customHeight="1">
      <c r="B17" s="28"/>
      <c r="C17" s="16"/>
      <c r="D17" s="17">
        <f>SUM('Model'!D5)</f>
        <v>3177.6822</v>
      </c>
      <c r="E17" s="17"/>
      <c r="F17" s="17"/>
      <c r="G17" s="17"/>
      <c r="H17" s="31"/>
      <c r="I17" s="11"/>
      <c r="J17" s="11"/>
    </row>
    <row r="18" ht="20.05" customHeight="1">
      <c r="B18" s="28"/>
      <c r="C18" s="16"/>
      <c r="D18" s="17">
        <f>'Model'!E5</f>
        <v>3241.235844</v>
      </c>
      <c r="E18" s="17"/>
      <c r="F18" s="17"/>
      <c r="G18" s="17"/>
      <c r="H18" s="31"/>
      <c r="I18" s="11"/>
      <c r="J18" s="11"/>
    </row>
    <row r="19" ht="20.05" customHeight="1">
      <c r="B19" s="28"/>
      <c r="C19" s="16"/>
      <c r="D19" s="17">
        <f>'Model'!F5</f>
        <v>3403.2976362</v>
      </c>
      <c r="E19" s="17"/>
      <c r="F19" s="17"/>
      <c r="G19" s="17"/>
      <c r="H19" s="31"/>
      <c r="I19" s="11"/>
      <c r="J19" s="11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R1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16406" style="32" customWidth="1"/>
    <col min="2" max="18" width="9.34375" style="32" customWidth="1"/>
    <col min="19" max="16384" width="16.3516" style="32" customWidth="1"/>
  </cols>
  <sheetData>
    <row r="1" ht="16.6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56.25" customHeight="1">
      <c r="B3" t="s" s="5">
        <v>1</v>
      </c>
      <c r="C3" t="s" s="5">
        <v>46</v>
      </c>
      <c r="D3" t="s" s="5">
        <v>45</v>
      </c>
      <c r="E3" t="s" s="5">
        <v>47</v>
      </c>
      <c r="F3" t="s" s="5">
        <v>48</v>
      </c>
      <c r="G3" t="s" s="5">
        <v>49</v>
      </c>
      <c r="H3" t="s" s="5">
        <v>50</v>
      </c>
      <c r="I3" t="s" s="5">
        <v>51</v>
      </c>
      <c r="J3" t="s" s="5">
        <v>24</v>
      </c>
      <c r="K3" t="s" s="5">
        <v>25</v>
      </c>
      <c r="L3" t="s" s="5">
        <v>52</v>
      </c>
      <c r="M3" t="s" s="5">
        <v>15</v>
      </c>
      <c r="N3" t="s" s="5">
        <v>53</v>
      </c>
      <c r="O3" t="s" s="5">
        <v>16</v>
      </c>
      <c r="P3" t="s" s="5">
        <v>54</v>
      </c>
      <c r="Q3" t="s" s="5">
        <v>3</v>
      </c>
      <c r="R3" t="s" s="5">
        <v>55</v>
      </c>
    </row>
    <row r="4" ht="20.25" customHeight="1">
      <c r="B4" s="23">
        <v>2019</v>
      </c>
      <c r="C4" s="24">
        <f>3108+115+520</f>
        <v>3743</v>
      </c>
      <c r="D4" s="25">
        <f>-1626-48-749-155</f>
        <v>-2578</v>
      </c>
      <c r="E4" s="25">
        <f>C4+D4</f>
        <v>1165</v>
      </c>
      <c r="F4" s="25">
        <f>-32</f>
        <v>-32</v>
      </c>
      <c r="G4" s="25">
        <v>1542</v>
      </c>
      <c r="H4" s="25">
        <v>-2445</v>
      </c>
      <c r="I4" s="25"/>
      <c r="J4" s="25">
        <v>0</v>
      </c>
      <c r="K4" s="25"/>
      <c r="L4" s="25">
        <v>14420</v>
      </c>
      <c r="M4" s="25">
        <f>G4+H4+I4+J4+K4</f>
        <v>-903</v>
      </c>
      <c r="N4" s="25">
        <v>-71</v>
      </c>
      <c r="O4" s="25">
        <f>L4+M4+N4</f>
        <v>13446</v>
      </c>
      <c r="P4" s="25">
        <f>E4+F4</f>
        <v>1133</v>
      </c>
      <c r="Q4" s="25">
        <f>AVERAGE(P4:P4)</f>
        <v>1133</v>
      </c>
      <c r="R4" s="25">
        <f>-(J4+K4)</f>
        <v>0</v>
      </c>
    </row>
    <row r="5" ht="20.05" customHeight="1">
      <c r="B5" s="28"/>
      <c r="C5" s="16">
        <f>6581+219+946+5-C4</f>
        <v>4008</v>
      </c>
      <c r="D5" s="17">
        <f>-3501-90-1891-410-19-D4</f>
        <v>-3333</v>
      </c>
      <c r="E5" s="17">
        <f>C5+D5</f>
        <v>675</v>
      </c>
      <c r="F5" s="17">
        <f>-97-F4</f>
        <v>-65</v>
      </c>
      <c r="G5" s="17">
        <f>-951-G4</f>
        <v>-2493</v>
      </c>
      <c r="H5" s="17">
        <f>1328-H4</f>
        <v>3773</v>
      </c>
      <c r="I5" s="17"/>
      <c r="J5" s="17">
        <f>-1308-J4</f>
        <v>-1308</v>
      </c>
      <c r="K5" s="17"/>
      <c r="L5" s="17">
        <f>O4</f>
        <v>13446</v>
      </c>
      <c r="M5" s="17">
        <f>G5+H5+I5+J5+K5</f>
        <v>-28</v>
      </c>
      <c r="N5" s="17">
        <f>-1.6-N4</f>
        <v>69.40000000000001</v>
      </c>
      <c r="O5" s="17">
        <f>L5+M5+N5</f>
        <v>13487.4</v>
      </c>
      <c r="P5" s="17">
        <f>E5+F5</f>
        <v>610</v>
      </c>
      <c r="Q5" s="17">
        <f>AVERAGE(P4:P5)</f>
        <v>871.5</v>
      </c>
      <c r="R5" s="17">
        <f>-(J5+K5)+R4</f>
        <v>1308</v>
      </c>
    </row>
    <row r="6" ht="20.05" customHeight="1">
      <c r="B6" s="28"/>
      <c r="C6" s="16">
        <f>9841+218+1429-C5-C4</f>
        <v>3737</v>
      </c>
      <c r="D6" s="17">
        <f>-5231-91-2678-657-19-D5-D4</f>
        <v>-2765</v>
      </c>
      <c r="E6" s="17">
        <f>C6+D6</f>
        <v>972</v>
      </c>
      <c r="F6" s="17">
        <f>-157-F5-F4</f>
        <v>-60</v>
      </c>
      <c r="G6" s="17">
        <f>101-G5-G4</f>
        <v>1052</v>
      </c>
      <c r="H6" s="17">
        <f>2180-H5-H4</f>
        <v>852</v>
      </c>
      <c r="I6" s="17"/>
      <c r="J6" s="17">
        <f>-2263-J5-J4</f>
        <v>-955</v>
      </c>
      <c r="K6" s="17"/>
      <c r="L6" s="17">
        <f>O5</f>
        <v>13487.4</v>
      </c>
      <c r="M6" s="17">
        <f>G6+H6+I6+J6+K6</f>
        <v>949</v>
      </c>
      <c r="N6" s="17">
        <f>-1.6-N5-N4</f>
        <v>0</v>
      </c>
      <c r="O6" s="17">
        <f>L6+M6+N6</f>
        <v>14436.4</v>
      </c>
      <c r="P6" s="17">
        <f>E6+F6</f>
        <v>912</v>
      </c>
      <c r="Q6" s="17">
        <f>AVERAGE(P4:P6)</f>
        <v>885</v>
      </c>
      <c r="R6" s="17">
        <f>-(J6+K6)+R5</f>
        <v>2263</v>
      </c>
    </row>
    <row r="7" ht="20.05" customHeight="1">
      <c r="B7" s="28"/>
      <c r="C7" s="16">
        <f>12992+404+1887-C6-C5-C4</f>
        <v>3795</v>
      </c>
      <c r="D7" s="17">
        <f>-6917-281-3559-890-19-D6-D5-D4</f>
        <v>-2990</v>
      </c>
      <c r="E7" s="17">
        <f>C7+D7</f>
        <v>805</v>
      </c>
      <c r="F7" s="17">
        <f>-187-F6-F5-F4</f>
        <v>-30</v>
      </c>
      <c r="G7" s="17">
        <f>4623-G6-G5-G4</f>
        <v>4522</v>
      </c>
      <c r="H7" s="17">
        <f>2951-H6-H5-H4</f>
        <v>771</v>
      </c>
      <c r="I7" s="17"/>
      <c r="J7" s="17">
        <f>-2438-J6-J5-J4</f>
        <v>-175</v>
      </c>
      <c r="K7" s="17"/>
      <c r="L7" s="17">
        <f>O6</f>
        <v>14436.4</v>
      </c>
      <c r="M7" s="17">
        <f>G7+H7+I7+J7+K7</f>
        <v>5118</v>
      </c>
      <c r="N7" s="17">
        <f>-4.1-N6-N5-N4</f>
        <v>-2.5</v>
      </c>
      <c r="O7" s="17">
        <f>L7+M7+N7</f>
        <v>19551.9</v>
      </c>
      <c r="P7" s="17">
        <f>E7+F7</f>
        <v>775</v>
      </c>
      <c r="Q7" s="17">
        <f>AVERAGE(P4:P7)</f>
        <v>857.5</v>
      </c>
      <c r="R7" s="17">
        <f>-(J7+K7)+R6</f>
        <v>2438</v>
      </c>
    </row>
    <row r="8" ht="20.05" customHeight="1">
      <c r="B8" s="30">
        <v>2020</v>
      </c>
      <c r="C8" s="16">
        <f>3186+107+944</f>
        <v>4237</v>
      </c>
      <c r="D8" s="17">
        <f>-1518-60-815-193</f>
        <v>-2586</v>
      </c>
      <c r="E8" s="17">
        <f>C8+D8</f>
        <v>1651</v>
      </c>
      <c r="F8" s="17">
        <v>-85</v>
      </c>
      <c r="G8" s="17">
        <v>-5892</v>
      </c>
      <c r="H8" s="17">
        <v>1382</v>
      </c>
      <c r="I8" s="17"/>
      <c r="J8" s="17">
        <v>-1</v>
      </c>
      <c r="K8" s="17"/>
      <c r="L8" s="17">
        <f>O7</f>
        <v>19551.9</v>
      </c>
      <c r="M8" s="17">
        <f>G8+H8+I8+J8+K8</f>
        <v>-4511</v>
      </c>
      <c r="N8" s="17">
        <v>17.4</v>
      </c>
      <c r="O8" s="17">
        <f>L8+M8+N8</f>
        <v>15058.3</v>
      </c>
      <c r="P8" s="17">
        <f>E8+F8</f>
        <v>1566</v>
      </c>
      <c r="Q8" s="17">
        <f>AVERAGE(P5:P8)</f>
        <v>965.75</v>
      </c>
      <c r="R8" s="17">
        <f>-(J8+K8)+R7</f>
        <v>2439</v>
      </c>
    </row>
    <row r="9" ht="20.05" customHeight="1">
      <c r="B9" s="28"/>
      <c r="C9" s="16">
        <f>6039+112+1199-C8</f>
        <v>3113</v>
      </c>
      <c r="D9" s="17">
        <f>-2897-59-1946-392-51-D8</f>
        <v>-2759</v>
      </c>
      <c r="E9" s="17">
        <f>C9+D9</f>
        <v>354</v>
      </c>
      <c r="F9" s="17">
        <f>-169-F8</f>
        <v>-84</v>
      </c>
      <c r="G9" s="17">
        <f>541-G8</f>
        <v>6433</v>
      </c>
      <c r="H9" s="17">
        <f>-5565-H8</f>
        <v>-6947</v>
      </c>
      <c r="I9" s="17"/>
      <c r="J9" s="17">
        <v>0</v>
      </c>
      <c r="K9" s="17"/>
      <c r="L9" s="17">
        <f>O8</f>
        <v>15058.3</v>
      </c>
      <c r="M9" s="17">
        <f>G9+H9+I9+J9+K9</f>
        <v>-514</v>
      </c>
      <c r="N9" s="17">
        <f>3-N8</f>
        <v>-14.4</v>
      </c>
      <c r="O9" s="17">
        <f>L9+M9+N9</f>
        <v>14529.9</v>
      </c>
      <c r="P9" s="17">
        <f>E9+F9</f>
        <v>270</v>
      </c>
      <c r="Q9" s="17">
        <f>AVERAGE(P6:P9)</f>
        <v>880.75</v>
      </c>
      <c r="R9" s="17">
        <f>-(J9+K9)+R8</f>
        <v>2439</v>
      </c>
    </row>
    <row r="10" ht="20.05" customHeight="1">
      <c r="B10" s="28"/>
      <c r="C10" s="16">
        <f>8987+212+1835-C9-C8</f>
        <v>3684</v>
      </c>
      <c r="D10" s="17">
        <f>-4126-113-2716-565-51-D9-D8</f>
        <v>-2226</v>
      </c>
      <c r="E10" s="17">
        <f>C10+D10</f>
        <v>1458</v>
      </c>
      <c r="F10" s="17">
        <f>-258-F9-F8</f>
        <v>-89</v>
      </c>
      <c r="G10" s="17">
        <f>3941-G9-G8</f>
        <v>3400</v>
      </c>
      <c r="H10" s="17">
        <f>-12061-H9-H8</f>
        <v>-6496</v>
      </c>
      <c r="I10" s="17">
        <v>-15</v>
      </c>
      <c r="J10" s="17">
        <f>-454-3-J9-J8</f>
        <v>-456</v>
      </c>
      <c r="K10" s="17"/>
      <c r="L10" s="17">
        <f>O9</f>
        <v>14529.9</v>
      </c>
      <c r="M10" s="17">
        <f>G10+H10+I10+J10+K10</f>
        <v>-3567</v>
      </c>
      <c r="N10" s="17">
        <f>7.1-N9-N8</f>
        <v>4.1</v>
      </c>
      <c r="O10" s="17">
        <f>L10+M10+N10</f>
        <v>10967</v>
      </c>
      <c r="P10" s="17">
        <f>E10+F10</f>
        <v>1369</v>
      </c>
      <c r="Q10" s="17">
        <f>AVERAGE(P7:P10)</f>
        <v>995</v>
      </c>
      <c r="R10" s="17">
        <f>-(J10+K10)+R9</f>
        <v>2895</v>
      </c>
    </row>
    <row r="11" ht="20.05" customHeight="1">
      <c r="B11" s="28"/>
      <c r="C11" s="16">
        <f>12016+307+2133-C10-C9-C8</f>
        <v>3422</v>
      </c>
      <c r="D11" s="17">
        <f>-5401-161-3803-897-143-D10-D9-D8</f>
        <v>-2834</v>
      </c>
      <c r="E11" s="17">
        <f>C11+D11</f>
        <v>588</v>
      </c>
      <c r="F11" s="17">
        <f>-322-F10-F9-F8</f>
        <v>-64</v>
      </c>
      <c r="G11" s="17">
        <f>5285-G10-G9-G8</f>
        <v>1344</v>
      </c>
      <c r="H11" s="17">
        <f>-16940-H10-H9-H8</f>
        <v>-4879</v>
      </c>
      <c r="I11" s="17">
        <f>-15-28-I10</f>
        <v>-28</v>
      </c>
      <c r="J11" s="17">
        <f>1640-J10-J9-J8-I11-I10</f>
        <v>2140</v>
      </c>
      <c r="K11" s="17"/>
      <c r="L11" s="17">
        <f>O10</f>
        <v>10967</v>
      </c>
      <c r="M11" s="17">
        <f>G11+H11+I11+J11+K11</f>
        <v>-1423</v>
      </c>
      <c r="N11" s="17">
        <f>117-N10-N9-N8</f>
        <v>109.9</v>
      </c>
      <c r="O11" s="17">
        <f>L11+M11+N11</f>
        <v>9653.9</v>
      </c>
      <c r="P11" s="17">
        <f>E11+F11</f>
        <v>524</v>
      </c>
      <c r="Q11" s="17">
        <f>AVERAGE(P8:P11)</f>
        <v>932.25</v>
      </c>
      <c r="R11" s="17">
        <f>-(J11+K11)+R10</f>
        <v>755</v>
      </c>
    </row>
    <row r="12" ht="20.05" customHeight="1">
      <c r="B12" s="30">
        <v>2021</v>
      </c>
      <c r="C12" s="16">
        <f>2720+94+329</f>
        <v>3143</v>
      </c>
      <c r="D12" s="17">
        <f>-1081-47-849-94-9</f>
        <v>-2080</v>
      </c>
      <c r="E12" s="17">
        <f>C12+D12</f>
        <v>1063</v>
      </c>
      <c r="F12" s="17">
        <v>-68</v>
      </c>
      <c r="G12" s="17">
        <v>12866</v>
      </c>
      <c r="H12" s="17">
        <v>-12126</v>
      </c>
      <c r="I12" s="17">
        <v>-3</v>
      </c>
      <c r="J12" s="17">
        <v>0</v>
      </c>
      <c r="K12" s="17"/>
      <c r="L12" s="17">
        <f>O11</f>
        <v>9653.9</v>
      </c>
      <c r="M12" s="17">
        <f>G12+H12+I12+J12+K12</f>
        <v>737</v>
      </c>
      <c r="N12" s="17">
        <v>207</v>
      </c>
      <c r="O12" s="17">
        <f>L12+M12+N12</f>
        <v>10597.9</v>
      </c>
      <c r="P12" s="17">
        <f>E12+F12</f>
        <v>995</v>
      </c>
      <c r="Q12" s="17">
        <f>AVERAGE(P9:P12)</f>
        <v>789.5</v>
      </c>
      <c r="R12" s="17">
        <f>-(J12+K12)+R11</f>
        <v>755</v>
      </c>
    </row>
    <row r="13" ht="20.05" customHeight="1">
      <c r="B13" s="28"/>
      <c r="C13" s="16">
        <f>5636+95+890-C12</f>
        <v>3478</v>
      </c>
      <c r="D13" s="17">
        <f>-2183-22-2039-327-204-D12</f>
        <v>-2695</v>
      </c>
      <c r="E13" s="17">
        <f>C13+D13</f>
        <v>783</v>
      </c>
      <c r="F13" s="17">
        <f>-183-F12</f>
        <v>-115</v>
      </c>
      <c r="G13" s="17">
        <f>12186-G12</f>
        <v>-680</v>
      </c>
      <c r="H13" s="17">
        <f>-13210-H12</f>
        <v>-1084</v>
      </c>
      <c r="I13" s="17">
        <f>-1.8-I12</f>
        <v>1.2</v>
      </c>
      <c r="J13" s="17">
        <v>-535</v>
      </c>
      <c r="K13" s="17"/>
      <c r="L13" s="17">
        <f>O12</f>
        <v>10597.9</v>
      </c>
      <c r="M13" s="17">
        <f>G13+H13+I13+J13+K13</f>
        <v>-2297.8</v>
      </c>
      <c r="N13" s="17">
        <f>195-N12</f>
        <v>-12</v>
      </c>
      <c r="O13" s="17">
        <f>L13+M13+N13</f>
        <v>8288.1</v>
      </c>
      <c r="P13" s="17">
        <f>E13+F13</f>
        <v>668</v>
      </c>
      <c r="Q13" s="17">
        <f>AVERAGE(P10:P13)</f>
        <v>889</v>
      </c>
      <c r="R13" s="17">
        <f>-(J13+K13)+R12</f>
        <v>1290</v>
      </c>
    </row>
    <row r="14" ht="20.05" customHeight="1">
      <c r="B14" s="28"/>
      <c r="C14" s="16">
        <f>8373+91+1471-C13-C12</f>
        <v>3314</v>
      </c>
      <c r="D14" s="17">
        <f>-2994-48-2886-557-204-D13-D12</f>
        <v>-1914</v>
      </c>
      <c r="E14" s="17">
        <f>C14+D14</f>
        <v>1400</v>
      </c>
      <c r="F14" s="17">
        <f>-274-F13-F12</f>
        <v>-91</v>
      </c>
      <c r="G14" s="17">
        <f>20081-G13-G12</f>
        <v>7895</v>
      </c>
      <c r="H14" s="17">
        <f>-12158-H13-H12</f>
        <v>1052</v>
      </c>
      <c r="I14" s="17">
        <f>-4.2-I13-I12</f>
        <v>-2.4</v>
      </c>
      <c r="J14" s="17">
        <f>-342-535+0.05-J13-J12</f>
        <v>-341.95</v>
      </c>
      <c r="K14" s="17"/>
      <c r="L14" s="17">
        <f>O13</f>
        <v>8288.1</v>
      </c>
      <c r="M14" s="17">
        <f>G14+H14+I14+J14+K14</f>
        <v>8602.65</v>
      </c>
      <c r="N14" s="17">
        <f>107-N13-N12</f>
        <v>-88</v>
      </c>
      <c r="O14" s="17">
        <f>L14+M14+N14</f>
        <v>16802.75</v>
      </c>
      <c r="P14" s="17">
        <f>E14+F14</f>
        <v>1309</v>
      </c>
      <c r="Q14" s="17">
        <f>AVERAGE(P11:P14)</f>
        <v>874</v>
      </c>
      <c r="R14" s="17">
        <f>-(J14+K14)+R13</f>
        <v>1631.95</v>
      </c>
    </row>
    <row r="15" ht="20.05" customHeight="1">
      <c r="B15" s="28"/>
      <c r="C15" s="16">
        <f>11202+355+1999-C14-C13-C12</f>
        <v>3621</v>
      </c>
      <c r="D15" s="17">
        <f>-3918-103-3883-650-204-D14-D13-D12</f>
        <v>-2069</v>
      </c>
      <c r="E15" s="17">
        <f>C15+D15</f>
        <v>1552</v>
      </c>
      <c r="F15" s="17">
        <f>-381-F14-F13-F12</f>
        <v>-107</v>
      </c>
      <c r="G15" s="17">
        <f>24790-G14-G13-G12</f>
        <v>4709</v>
      </c>
      <c r="H15" s="17">
        <f>-21577-H14-H13-H12</f>
        <v>-9419</v>
      </c>
      <c r="I15" s="17">
        <f>-4.6-I14-I13-I12</f>
        <v>-0.4</v>
      </c>
      <c r="J15" s="17">
        <f>-342-535+0.05-J14-J13-J12</f>
        <v>0</v>
      </c>
      <c r="K15" s="17"/>
      <c r="L15" s="17">
        <f>O14</f>
        <v>16802.75</v>
      </c>
      <c r="M15" s="17">
        <f>G15+H15+I15+J15+K15</f>
        <v>-4710.4</v>
      </c>
      <c r="N15" s="17">
        <f>76-N14-N13-N12</f>
        <v>-31</v>
      </c>
      <c r="O15" s="17">
        <f>L15+M15+N15</f>
        <v>12061.35</v>
      </c>
      <c r="P15" s="17">
        <f>E15+F15</f>
        <v>1445</v>
      </c>
      <c r="Q15" s="17">
        <f>AVERAGE(P12:P15)</f>
        <v>1104.25</v>
      </c>
      <c r="R15" s="17">
        <f>-(J15+K15)+R14</f>
        <v>1631.95</v>
      </c>
    </row>
    <row r="16" ht="20.05" customHeight="1">
      <c r="B16" s="30">
        <v>2022</v>
      </c>
      <c r="C16" s="16"/>
      <c r="D16" s="17"/>
      <c r="E16" s="17">
        <f>C16+D16</f>
        <v>0</v>
      </c>
      <c r="F16" s="1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>
        <f>SUM('Model'!F8:F9)</f>
        <v>1374.8979155055</v>
      </c>
      <c r="R16" s="17">
        <f>'Model'!F30</f>
        <v>2555.971625315830</v>
      </c>
    </row>
  </sheetData>
  <mergeCells count="1">
    <mergeCell ref="B2:R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17188" style="33" customWidth="1"/>
    <col min="2" max="5" width="9.61719" style="33" customWidth="1"/>
    <col min="6" max="11" width="10.5938" style="33" customWidth="1"/>
    <col min="12" max="16384" width="16.3516" style="33" customWidth="1"/>
  </cols>
  <sheetData>
    <row r="1" ht="16.3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44.25" customHeight="1">
      <c r="B3" t="s" s="5">
        <v>1</v>
      </c>
      <c r="C3" t="s" s="5">
        <v>56</v>
      </c>
      <c r="D3" t="s" s="5">
        <v>57</v>
      </c>
      <c r="E3" t="s" s="5">
        <v>58</v>
      </c>
      <c r="F3" t="s" s="5">
        <v>59</v>
      </c>
      <c r="G3" t="s" s="5">
        <v>24</v>
      </c>
      <c r="H3" t="s" s="5">
        <v>25</v>
      </c>
      <c r="I3" t="s" s="5">
        <v>60</v>
      </c>
      <c r="J3" t="s" s="5">
        <v>61</v>
      </c>
      <c r="K3" t="s" s="5">
        <v>62</v>
      </c>
    </row>
    <row r="4" ht="20.9" customHeight="1">
      <c r="B4" s="23">
        <v>2019</v>
      </c>
      <c r="C4" s="24">
        <f>' Cashflow'!O4</f>
        <v>13446</v>
      </c>
      <c r="D4" s="25">
        <v>177529</v>
      </c>
      <c r="E4" s="25">
        <f>D4-C4</f>
        <v>164083</v>
      </c>
      <c r="F4" s="25"/>
      <c r="G4" s="25">
        <v>152179</v>
      </c>
      <c r="H4" s="25">
        <f>D4-G4</f>
        <v>25350</v>
      </c>
      <c r="I4" s="25">
        <f>G4+H4-C4-E4</f>
        <v>0</v>
      </c>
      <c r="J4" s="34"/>
      <c r="K4" s="34"/>
    </row>
    <row r="5" ht="20.9" customHeight="1">
      <c r="B5" s="28"/>
      <c r="C5" s="16">
        <f>' Cashflow'!O5</f>
        <v>13487.4</v>
      </c>
      <c r="D5" s="17">
        <v>178045</v>
      </c>
      <c r="E5" s="17">
        <f>D5-C5</f>
        <v>164557.6</v>
      </c>
      <c r="F5" s="17"/>
      <c r="G5" s="17">
        <v>151852</v>
      </c>
      <c r="H5" s="17">
        <f>D5-G5</f>
        <v>26193</v>
      </c>
      <c r="I5" s="17">
        <f>G5+H5-C5-E5</f>
        <v>0</v>
      </c>
      <c r="J5" s="35">
        <f>E5/E4-1</f>
        <v>0.00289243858291231</v>
      </c>
      <c r="K5" s="35">
        <f>G5/G4-1</f>
        <v>-0.00214878531203385</v>
      </c>
    </row>
    <row r="6" ht="20.9" customHeight="1">
      <c r="B6" s="28"/>
      <c r="C6" s="16">
        <f>' Cashflow'!O6</f>
        <v>14436.4</v>
      </c>
      <c r="D6" s="17">
        <v>175350</v>
      </c>
      <c r="E6" s="17">
        <f>D6-C6</f>
        <v>160913.6</v>
      </c>
      <c r="F6" s="17"/>
      <c r="G6" s="17">
        <v>148443</v>
      </c>
      <c r="H6" s="17">
        <f>D6-G6</f>
        <v>26907</v>
      </c>
      <c r="I6" s="17">
        <f>G6+H6-C6-E6</f>
        <v>0</v>
      </c>
      <c r="J6" s="35">
        <f>E6/E5-1</f>
        <v>-0.022144221840863</v>
      </c>
      <c r="K6" s="35">
        <f>G6/G5-1</f>
        <v>-0.0224494902931802</v>
      </c>
    </row>
    <row r="7" ht="20.9" customHeight="1">
      <c r="B7" s="28"/>
      <c r="C7" s="16">
        <f>' Cashflow'!O7</f>
        <v>19551.9</v>
      </c>
      <c r="D7" s="17">
        <v>180707</v>
      </c>
      <c r="E7" s="17">
        <f>D7-C7</f>
        <v>161155.1</v>
      </c>
      <c r="F7" s="17">
        <f>856</f>
        <v>856</v>
      </c>
      <c r="G7" s="17">
        <v>153042</v>
      </c>
      <c r="H7" s="17">
        <f>D7-G7</f>
        <v>27665</v>
      </c>
      <c r="I7" s="17">
        <f>G7+H7-C7-E7</f>
        <v>0</v>
      </c>
      <c r="J7" s="35">
        <f>E7/E6-1</f>
        <v>0.00150080540115938</v>
      </c>
      <c r="K7" s="35">
        <f>G7/G6-1</f>
        <v>0.0309815888927063</v>
      </c>
    </row>
    <row r="8" ht="20.9" customHeight="1">
      <c r="B8" s="30">
        <v>2020</v>
      </c>
      <c r="C8" s="16">
        <f>' Cashflow'!O8</f>
        <v>15058.3</v>
      </c>
      <c r="D8" s="17">
        <v>191456</v>
      </c>
      <c r="E8" s="17">
        <f>D8-C8</f>
        <v>176397.7</v>
      </c>
      <c r="F8" s="17"/>
      <c r="G8" s="17">
        <v>163512</v>
      </c>
      <c r="H8" s="17">
        <f>D8-G8</f>
        <v>27944</v>
      </c>
      <c r="I8" s="17">
        <f>G8+H8-C8-E8</f>
        <v>0</v>
      </c>
      <c r="J8" s="35">
        <f>E8/E7-1</f>
        <v>0.09458341684501451</v>
      </c>
      <c r="K8" s="35">
        <f>G8/G7-1</f>
        <v>0.06841259262163329</v>
      </c>
    </row>
    <row r="9" ht="20.9" customHeight="1">
      <c r="B9" s="28"/>
      <c r="C9" s="16">
        <f>' Cashflow'!O9</f>
        <v>14529.9</v>
      </c>
      <c r="D9" s="17">
        <v>182161</v>
      </c>
      <c r="E9" s="17">
        <f>D9-C9</f>
        <v>167631.1</v>
      </c>
      <c r="F9" s="17"/>
      <c r="G9" s="17">
        <v>153143</v>
      </c>
      <c r="H9" s="17">
        <f>D9-G9</f>
        <v>29018</v>
      </c>
      <c r="I9" s="17">
        <f>G9+H9-C9-E9</f>
        <v>0</v>
      </c>
      <c r="J9" s="35">
        <f>E9/E8-1</f>
        <v>-0.0496979269004074</v>
      </c>
      <c r="K9" s="35">
        <f>G9/G8-1</f>
        <v>-0.0634143059836587</v>
      </c>
    </row>
    <row r="10" ht="20.9" customHeight="1">
      <c r="B10" s="28"/>
      <c r="C10" s="16">
        <f>' Cashflow'!O10</f>
        <v>10967</v>
      </c>
      <c r="D10" s="17">
        <v>197926</v>
      </c>
      <c r="E10" s="17">
        <f>D10-C10</f>
        <v>186959</v>
      </c>
      <c r="F10" s="17"/>
      <c r="G10" s="17">
        <v>168372</v>
      </c>
      <c r="H10" s="17">
        <f>D10-G10</f>
        <v>29554</v>
      </c>
      <c r="I10" s="17">
        <f>G10+H10-C10-E10</f>
        <v>0</v>
      </c>
      <c r="J10" s="35">
        <f>E10/E9-1</f>
        <v>0.115300203840457</v>
      </c>
      <c r="K10" s="35">
        <f>G10/G9-1</f>
        <v>0.0994430042509289</v>
      </c>
    </row>
    <row r="11" ht="20.9" customHeight="1">
      <c r="B11" s="28"/>
      <c r="C11" s="16">
        <f>' Cashflow'!O11</f>
        <v>9653.9</v>
      </c>
      <c r="D11" s="17">
        <v>206297</v>
      </c>
      <c r="E11" s="17">
        <f>D11-C11</f>
        <v>196643.1</v>
      </c>
      <c r="F11" s="17">
        <f>1021+58</f>
        <v>1079</v>
      </c>
      <c r="G11" s="17">
        <v>176468</v>
      </c>
      <c r="H11" s="17">
        <f>D11-G11</f>
        <v>29829</v>
      </c>
      <c r="I11" s="17">
        <f>G11+H11-C11-E11</f>
        <v>0</v>
      </c>
      <c r="J11" s="35">
        <f>E11/E10-1</f>
        <v>0.0517979877941153</v>
      </c>
      <c r="K11" s="35">
        <f>G11/G10-1</f>
        <v>0.0480840044663008</v>
      </c>
    </row>
    <row r="12" ht="20.9" customHeight="1">
      <c r="B12" s="30">
        <v>2021</v>
      </c>
      <c r="C12" s="16">
        <f>' Cashflow'!O12</f>
        <v>10597.9</v>
      </c>
      <c r="D12" s="17">
        <v>207743</v>
      </c>
      <c r="E12" s="17">
        <f>D12-C12</f>
        <v>197145.1</v>
      </c>
      <c r="F12" s="17"/>
      <c r="G12" s="17">
        <v>177543</v>
      </c>
      <c r="H12" s="17">
        <f>D12-G12</f>
        <v>30200</v>
      </c>
      <c r="I12" s="17">
        <f>G12+H12-C12-E12</f>
        <v>0</v>
      </c>
      <c r="J12" s="35">
        <f>E12/E11-1</f>
        <v>0.00255284828198905</v>
      </c>
      <c r="K12" s="35">
        <f>G12/G11-1</f>
        <v>0.00609175601242152</v>
      </c>
    </row>
    <row r="13" ht="20.9" customHeight="1">
      <c r="B13" s="28"/>
      <c r="C13" s="16">
        <f>' Cashflow'!O13</f>
        <v>8288.1</v>
      </c>
      <c r="D13" s="17">
        <v>201115</v>
      </c>
      <c r="E13" s="17">
        <f>D13-C13</f>
        <v>192826.9</v>
      </c>
      <c r="F13" s="17"/>
      <c r="G13" s="17">
        <v>169832</v>
      </c>
      <c r="H13" s="17">
        <f>D13-G13</f>
        <v>31283</v>
      </c>
      <c r="I13" s="17">
        <f>G13+H13-C13-E13</f>
        <v>0</v>
      </c>
      <c r="J13" s="35">
        <f>E13/E12-1</f>
        <v>-0.0219036638496214</v>
      </c>
      <c r="K13" s="35">
        <f>G13/G12-1</f>
        <v>-0.0434317320311136</v>
      </c>
    </row>
    <row r="14" ht="20.9" customHeight="1">
      <c r="B14" s="28"/>
      <c r="C14" s="16">
        <f>' Cashflow'!O14</f>
        <v>16802.75</v>
      </c>
      <c r="D14" s="17">
        <v>211283</v>
      </c>
      <c r="E14" s="17">
        <f>D14-C14</f>
        <v>194480.25</v>
      </c>
      <c r="F14" s="17"/>
      <c r="G14" s="17">
        <v>179465</v>
      </c>
      <c r="H14" s="17">
        <f>D14-G14</f>
        <v>31818</v>
      </c>
      <c r="I14" s="17">
        <f>G14+H14-C14-E14</f>
        <v>0</v>
      </c>
      <c r="J14" s="35">
        <f>E14/E13-1</f>
        <v>0.008574270498566331</v>
      </c>
      <c r="K14" s="35">
        <f>G14/G13-1</f>
        <v>0.0567207593386405</v>
      </c>
    </row>
    <row r="15" ht="20.9" customHeight="1">
      <c r="B15" s="28"/>
      <c r="C15" s="16">
        <f>' Cashflow'!O15</f>
        <v>12061.35</v>
      </c>
      <c r="D15" s="17">
        <v>214396</v>
      </c>
      <c r="E15" s="17">
        <f>D15-C15</f>
        <v>202334.65</v>
      </c>
      <c r="F15" s="17">
        <f>1111+78</f>
        <v>1189</v>
      </c>
      <c r="G15" s="17">
        <v>182068</v>
      </c>
      <c r="H15" s="17">
        <f>D15-G15</f>
        <v>32328</v>
      </c>
      <c r="I15" s="17">
        <f>G15+H15-C15-E15</f>
        <v>0</v>
      </c>
      <c r="J15" s="35">
        <f>E15/E14-1</f>
        <v>0.0403866202352167</v>
      </c>
      <c r="K15" s="35">
        <f>G15/G14-1</f>
        <v>0.0145042208787229</v>
      </c>
    </row>
    <row r="16" ht="20.9" customHeight="1">
      <c r="B16" s="30">
        <v>2022</v>
      </c>
      <c r="C16" s="16"/>
      <c r="D16" s="17"/>
      <c r="E16" s="17"/>
      <c r="F16" s="17"/>
      <c r="G16" s="17"/>
      <c r="H16" s="17"/>
      <c r="I16" s="17"/>
      <c r="J16" s="35"/>
      <c r="K16" s="35"/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1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20312" style="36" customWidth="1"/>
    <col min="2" max="2" width="6.86719" style="36" customWidth="1"/>
    <col min="3" max="5" width="8.32031" style="36" customWidth="1"/>
    <col min="6" max="16384" width="16.3516" style="36" customWidth="1"/>
  </cols>
  <sheetData>
    <row r="1" ht="7.3" customHeight="1"/>
    <row r="2" ht="27.65" customHeight="1">
      <c r="B2" t="s" s="2">
        <v>63</v>
      </c>
      <c r="C2" s="2"/>
      <c r="D2" s="2"/>
      <c r="E2" s="2"/>
    </row>
    <row r="3" ht="32.25" customHeight="1">
      <c r="B3" s="4"/>
      <c r="C3" t="s" s="37">
        <v>64</v>
      </c>
      <c r="D3" t="s" s="37">
        <v>36</v>
      </c>
      <c r="E3" t="s" s="37">
        <v>65</v>
      </c>
    </row>
    <row r="4" ht="20.25" customHeight="1">
      <c r="B4" s="23">
        <v>2019</v>
      </c>
      <c r="C4" s="24">
        <v>900</v>
      </c>
      <c r="D4" s="38"/>
      <c r="E4" s="38"/>
    </row>
    <row r="5" ht="20.05" customHeight="1">
      <c r="B5" s="28"/>
      <c r="C5" s="16">
        <v>895</v>
      </c>
      <c r="D5" s="39"/>
      <c r="E5" s="39"/>
    </row>
    <row r="6" ht="20.05" customHeight="1">
      <c r="B6" s="28"/>
      <c r="C6" s="16">
        <v>845</v>
      </c>
      <c r="D6" s="39"/>
      <c r="E6" s="39"/>
    </row>
    <row r="7" ht="20.05" customHeight="1">
      <c r="B7" s="28"/>
      <c r="C7" s="16">
        <v>845</v>
      </c>
      <c r="D7" s="39"/>
      <c r="E7" s="39"/>
    </row>
    <row r="8" ht="20.05" customHeight="1">
      <c r="B8" s="30">
        <v>2020</v>
      </c>
      <c r="C8" s="16">
        <v>800</v>
      </c>
      <c r="D8" s="39"/>
      <c r="E8" s="39"/>
    </row>
    <row r="9" ht="20.05" customHeight="1">
      <c r="B9" s="28"/>
      <c r="C9" s="16">
        <v>735</v>
      </c>
      <c r="D9" s="31"/>
      <c r="E9" s="31"/>
    </row>
    <row r="10" ht="20.05" customHeight="1">
      <c r="B10" s="28"/>
      <c r="C10" s="16">
        <v>725</v>
      </c>
      <c r="D10" s="31"/>
      <c r="E10" s="31"/>
    </row>
    <row r="11" ht="20.05" customHeight="1">
      <c r="B11" s="28"/>
      <c r="C11" s="16">
        <v>820</v>
      </c>
      <c r="D11" s="31"/>
      <c r="E11" s="31"/>
    </row>
    <row r="12" ht="20.05" customHeight="1">
      <c r="B12" s="30">
        <v>2021</v>
      </c>
      <c r="C12" s="16">
        <v>880</v>
      </c>
      <c r="D12" s="31"/>
      <c r="E12" s="31"/>
    </row>
    <row r="13" ht="20.05" customHeight="1">
      <c r="B13" s="28"/>
      <c r="C13" s="16">
        <v>775</v>
      </c>
      <c r="D13" s="31"/>
      <c r="E13" s="31"/>
    </row>
    <row r="14" ht="20.05" customHeight="1">
      <c r="B14" s="28"/>
      <c r="C14" s="16">
        <v>685</v>
      </c>
      <c r="D14" s="31"/>
      <c r="E14" s="31"/>
    </row>
    <row r="15" ht="20.05" customHeight="1">
      <c r="B15" s="28"/>
      <c r="C15" s="16">
        <v>670</v>
      </c>
      <c r="D15" s="31"/>
      <c r="E15" s="31"/>
    </row>
    <row r="16" ht="20.05" customHeight="1">
      <c r="B16" s="30">
        <v>2022</v>
      </c>
      <c r="C16" s="16">
        <v>640</v>
      </c>
      <c r="D16" s="20">
        <f>C16</f>
        <v>640</v>
      </c>
      <c r="E16" s="31"/>
    </row>
    <row r="17" ht="20.05" customHeight="1">
      <c r="B17" s="28"/>
      <c r="C17" s="16"/>
      <c r="D17" s="20">
        <f>'Model'!F39</f>
        <v>796.675849388613</v>
      </c>
      <c r="E17" s="31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2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8" width="11.5625" style="40" customWidth="1"/>
    <col min="9" max="16384" width="16.3516" style="40" customWidth="1"/>
  </cols>
  <sheetData>
    <row r="1" ht="27.65" customHeight="1">
      <c r="A1" t="s" s="2">
        <v>55</v>
      </c>
      <c r="B1" s="2"/>
      <c r="C1" s="2"/>
      <c r="D1" s="2"/>
      <c r="E1" s="2"/>
      <c r="F1" s="2"/>
      <c r="G1" s="2"/>
      <c r="H1" s="2"/>
    </row>
    <row r="2" ht="20.25" customHeight="1">
      <c r="A2" s="41"/>
      <c r="B2" t="s" s="5">
        <v>24</v>
      </c>
      <c r="C2" t="s" s="5">
        <v>25</v>
      </c>
      <c r="D2" t="s" s="5">
        <v>66</v>
      </c>
      <c r="E2" t="s" s="5">
        <v>24</v>
      </c>
      <c r="F2" t="s" s="5">
        <v>25</v>
      </c>
      <c r="G2" t="s" s="5">
        <v>67</v>
      </c>
      <c r="H2" s="4"/>
    </row>
    <row r="3" ht="20.25" customHeight="1">
      <c r="A3" s="23">
        <v>1998</v>
      </c>
      <c r="B3" s="24"/>
      <c r="C3" s="25"/>
      <c r="D3" s="25">
        <f>B3+C3</f>
        <v>0</v>
      </c>
      <c r="E3" s="25">
        <f>B3</f>
        <v>0</v>
      </c>
      <c r="F3" s="25">
        <f>C3</f>
        <v>0</v>
      </c>
      <c r="G3" s="25">
        <f>D3</f>
        <v>0</v>
      </c>
      <c r="H3" s="42"/>
    </row>
    <row r="4" ht="20.05" customHeight="1">
      <c r="A4" s="30">
        <v>1999</v>
      </c>
      <c r="B4" s="16"/>
      <c r="C4" s="17"/>
      <c r="D4" s="17">
        <f>B4+C4</f>
        <v>0</v>
      </c>
      <c r="E4" s="17">
        <f>B4+E3</f>
        <v>0</v>
      </c>
      <c r="F4" s="17">
        <f>C4+F3</f>
        <v>0</v>
      </c>
      <c r="G4" s="17">
        <f>D4+G3</f>
        <v>0</v>
      </c>
      <c r="H4" s="31"/>
    </row>
    <row r="5" ht="20.05" customHeight="1">
      <c r="A5" s="30">
        <v>2000</v>
      </c>
      <c r="B5" s="16"/>
      <c r="C5" s="17"/>
      <c r="D5" s="17">
        <f>B5+C5</f>
        <v>0</v>
      </c>
      <c r="E5" s="17">
        <f>B5+E4</f>
        <v>0</v>
      </c>
      <c r="F5" s="17">
        <f>C5+F4</f>
        <v>0</v>
      </c>
      <c r="G5" s="17">
        <f>D5+G4</f>
        <v>0</v>
      </c>
      <c r="H5" s="31"/>
    </row>
    <row r="6" ht="20.05" customHeight="1">
      <c r="A6" s="30">
        <v>2001</v>
      </c>
      <c r="B6" s="16"/>
      <c r="C6" s="17"/>
      <c r="D6" s="17">
        <f>B6+C6</f>
        <v>0</v>
      </c>
      <c r="E6" s="17">
        <f>B6+E5</f>
        <v>0</v>
      </c>
      <c r="F6" s="17">
        <f>C6+F5</f>
        <v>0</v>
      </c>
      <c r="G6" s="17">
        <f>D6+G5</f>
        <v>0</v>
      </c>
      <c r="H6" s="31"/>
    </row>
    <row r="7" ht="20.05" customHeight="1">
      <c r="A7" s="30">
        <v>2002</v>
      </c>
      <c r="B7" s="16"/>
      <c r="C7" s="17"/>
      <c r="D7" s="17">
        <f>B7+C7</f>
        <v>0</v>
      </c>
      <c r="E7" s="17">
        <f>B7+E6</f>
        <v>0</v>
      </c>
      <c r="F7" s="17">
        <f>C7+F6</f>
        <v>0</v>
      </c>
      <c r="G7" s="17">
        <f>D7+G6</f>
        <v>0</v>
      </c>
      <c r="H7" s="31"/>
    </row>
    <row r="8" ht="20.05" customHeight="1">
      <c r="A8" s="30">
        <v>2003</v>
      </c>
      <c r="B8" s="16"/>
      <c r="C8" s="17"/>
      <c r="D8" s="17">
        <f>B8+C8</f>
        <v>0</v>
      </c>
      <c r="E8" s="17">
        <f>B8+E7</f>
        <v>0</v>
      </c>
      <c r="F8" s="17">
        <f>C8+F7</f>
        <v>0</v>
      </c>
      <c r="G8" s="17">
        <f>D8+G7</f>
        <v>0</v>
      </c>
      <c r="H8" s="31"/>
    </row>
    <row r="9" ht="20.05" customHeight="1">
      <c r="A9" s="30">
        <v>2004</v>
      </c>
      <c r="B9" s="16"/>
      <c r="C9" s="17"/>
      <c r="D9" s="17">
        <f>B9+C9</f>
        <v>0</v>
      </c>
      <c r="E9" s="17">
        <f>B9+E8</f>
        <v>0</v>
      </c>
      <c r="F9" s="17">
        <f>C9+F8</f>
        <v>0</v>
      </c>
      <c r="G9" s="17">
        <f>D9+G8</f>
        <v>0</v>
      </c>
      <c r="H9" s="31"/>
    </row>
    <row r="10" ht="20.05" customHeight="1">
      <c r="A10" s="30">
        <v>2005</v>
      </c>
      <c r="B10" s="16"/>
      <c r="C10" s="17"/>
      <c r="D10" s="17">
        <f>B10+C10</f>
        <v>0</v>
      </c>
      <c r="E10" s="17">
        <f>B10+E9</f>
        <v>0</v>
      </c>
      <c r="F10" s="17">
        <f>C10+F9</f>
        <v>0</v>
      </c>
      <c r="G10" s="17">
        <f>D10+G9</f>
        <v>0</v>
      </c>
      <c r="H10" s="31"/>
    </row>
    <row r="11" ht="20.05" customHeight="1">
      <c r="A11" s="30">
        <v>2006</v>
      </c>
      <c r="B11" s="16"/>
      <c r="C11" s="17"/>
      <c r="D11" s="17">
        <f>B11+C11</f>
        <v>0</v>
      </c>
      <c r="E11" s="17">
        <f>B11+E10</f>
        <v>0</v>
      </c>
      <c r="F11" s="17">
        <f>C11+F10</f>
        <v>0</v>
      </c>
      <c r="G11" s="17">
        <f>D11+G10</f>
        <v>0</v>
      </c>
      <c r="H11" s="31"/>
    </row>
    <row r="12" ht="20.05" customHeight="1">
      <c r="A12" s="30">
        <v>2007</v>
      </c>
      <c r="B12" s="16"/>
      <c r="C12" s="17"/>
      <c r="D12" s="17">
        <f>B12+C12</f>
        <v>0</v>
      </c>
      <c r="E12" s="17">
        <f>B12+E11</f>
        <v>0</v>
      </c>
      <c r="F12" s="17">
        <f>C12+F11</f>
        <v>0</v>
      </c>
      <c r="G12" s="17">
        <f>D12+G11</f>
        <v>0</v>
      </c>
      <c r="H12" s="31"/>
    </row>
    <row r="13" ht="20.05" customHeight="1">
      <c r="A13" s="30">
        <v>2008</v>
      </c>
      <c r="B13" s="16"/>
      <c r="C13" s="17"/>
      <c r="D13" s="17">
        <f>B13+C13</f>
        <v>0</v>
      </c>
      <c r="E13" s="17">
        <f>B13+E12</f>
        <v>0</v>
      </c>
      <c r="F13" s="17">
        <f>C13+F12</f>
        <v>0</v>
      </c>
      <c r="G13" s="17">
        <f>D13+G12</f>
        <v>0</v>
      </c>
      <c r="H13" s="20">
        <f>H12+4</f>
        <v>4</v>
      </c>
    </row>
    <row r="14" ht="20.05" customHeight="1">
      <c r="A14" s="30">
        <v>2009</v>
      </c>
      <c r="B14" s="16"/>
      <c r="C14" s="17"/>
      <c r="D14" s="17">
        <f>B14+C14</f>
        <v>0</v>
      </c>
      <c r="E14" s="17">
        <f>B14+E13</f>
        <v>0</v>
      </c>
      <c r="F14" s="17">
        <f>C14+F13</f>
        <v>0</v>
      </c>
      <c r="G14" s="17">
        <f>D14+G13</f>
        <v>0</v>
      </c>
      <c r="H14" s="20">
        <f>H13+4</f>
        <v>8</v>
      </c>
    </row>
    <row r="15" ht="20.05" customHeight="1">
      <c r="A15" s="30">
        <v>2010</v>
      </c>
      <c r="B15" s="16"/>
      <c r="C15" s="17"/>
      <c r="D15" s="17">
        <f>B15+C15</f>
        <v>0</v>
      </c>
      <c r="E15" s="17">
        <f>B15+E14</f>
        <v>0</v>
      </c>
      <c r="F15" s="17">
        <f>C15+F14</f>
        <v>0</v>
      </c>
      <c r="G15" s="17">
        <f>D15+G14</f>
        <v>0</v>
      </c>
      <c r="H15" s="20">
        <f>H14+4</f>
        <v>12</v>
      </c>
    </row>
    <row r="16" ht="20.05" customHeight="1">
      <c r="A16" s="30">
        <v>2011</v>
      </c>
      <c r="B16" s="16"/>
      <c r="C16" s="17"/>
      <c r="D16" s="17">
        <f>B16+C16</f>
        <v>0</v>
      </c>
      <c r="E16" s="17">
        <f>B16+E15</f>
        <v>0</v>
      </c>
      <c r="F16" s="17">
        <f>C16+F15</f>
        <v>0</v>
      </c>
      <c r="G16" s="17">
        <f>D16+G15</f>
        <v>0</v>
      </c>
      <c r="H16" s="20">
        <f>H15+4</f>
        <v>16</v>
      </c>
    </row>
    <row r="17" ht="20.05" customHeight="1">
      <c r="A17" s="30">
        <v>2012</v>
      </c>
      <c r="B17" s="16"/>
      <c r="C17" s="17"/>
      <c r="D17" s="17">
        <f>B17+C17</f>
        <v>0</v>
      </c>
      <c r="E17" s="17">
        <f>B17+E16</f>
        <v>0</v>
      </c>
      <c r="F17" s="17">
        <f>C17+F16</f>
        <v>0</v>
      </c>
      <c r="G17" s="17">
        <f>D17+G16</f>
        <v>0</v>
      </c>
      <c r="H17" s="20">
        <f>H16+4</f>
        <v>20</v>
      </c>
    </row>
    <row r="18" ht="20.05" customHeight="1">
      <c r="A18" s="30">
        <v>2013</v>
      </c>
      <c r="B18" s="16"/>
      <c r="C18" s="17"/>
      <c r="D18" s="17">
        <f>B18+C18</f>
        <v>0</v>
      </c>
      <c r="E18" s="17">
        <f>B18+E17</f>
        <v>0</v>
      </c>
      <c r="F18" s="17">
        <f>C18+F17</f>
        <v>0</v>
      </c>
      <c r="G18" s="17">
        <f>D18+G17</f>
        <v>0</v>
      </c>
      <c r="H18" s="20">
        <f>H17+4</f>
        <v>24</v>
      </c>
    </row>
    <row r="19" ht="20.05" customHeight="1">
      <c r="A19" s="30">
        <v>2014</v>
      </c>
      <c r="B19" s="16"/>
      <c r="C19" s="17"/>
      <c r="D19" s="17">
        <f>B19+C19</f>
        <v>0</v>
      </c>
      <c r="E19" s="17">
        <f>B19+E18</f>
        <v>0</v>
      </c>
      <c r="F19" s="17">
        <f>C19+F18</f>
        <v>0</v>
      </c>
      <c r="G19" s="17">
        <f>D19+G18</f>
        <v>0</v>
      </c>
      <c r="H19" s="20">
        <f>H18+4</f>
        <v>28</v>
      </c>
    </row>
    <row r="20" ht="20.05" customHeight="1">
      <c r="A20" s="30">
        <v>2015</v>
      </c>
      <c r="B20" s="16"/>
      <c r="C20" s="17"/>
      <c r="D20" s="17">
        <f>B20+C20</f>
        <v>0</v>
      </c>
      <c r="E20" s="17">
        <f>B20+E19</f>
        <v>0</v>
      </c>
      <c r="F20" s="17">
        <f>C20+F19</f>
        <v>0</v>
      </c>
      <c r="G20" s="17">
        <f>D20+G19</f>
        <v>0</v>
      </c>
      <c r="H20" s="20">
        <f>H19+4</f>
        <v>32</v>
      </c>
    </row>
    <row r="21" ht="20.05" customHeight="1">
      <c r="A21" s="30">
        <v>2016</v>
      </c>
      <c r="B21" s="16"/>
      <c r="C21" s="17"/>
      <c r="D21" s="17">
        <f>B21+C21</f>
        <v>0</v>
      </c>
      <c r="E21" s="17">
        <f>B21+E20</f>
        <v>0</v>
      </c>
      <c r="F21" s="17">
        <f>C21+F20</f>
        <v>0</v>
      </c>
      <c r="G21" s="17">
        <f>D21+G20</f>
        <v>0</v>
      </c>
      <c r="H21" s="20">
        <f>H20+4</f>
        <v>36</v>
      </c>
    </row>
    <row r="22" ht="20.05" customHeight="1">
      <c r="A22" s="30">
        <v>2017</v>
      </c>
      <c r="B22" s="16"/>
      <c r="C22" s="31"/>
      <c r="D22" s="17">
        <f>B22+C22</f>
        <v>0</v>
      </c>
      <c r="E22" s="17">
        <f>B22+E21</f>
        <v>0</v>
      </c>
      <c r="F22" s="17">
        <f>C22+F21</f>
        <v>0</v>
      </c>
      <c r="G22" s="17">
        <f>D22+G21</f>
        <v>0</v>
      </c>
      <c r="H22" s="20">
        <f>H21+4</f>
        <v>40</v>
      </c>
    </row>
    <row r="23" ht="20.05" customHeight="1">
      <c r="A23" s="30">
        <v>2018</v>
      </c>
      <c r="B23" s="16"/>
      <c r="C23" s="17"/>
      <c r="D23" s="17">
        <f>B23+C23</f>
        <v>0</v>
      </c>
      <c r="E23" s="17">
        <f>B23+E22</f>
        <v>0</v>
      </c>
      <c r="F23" s="17">
        <f>C23+F22</f>
        <v>0</v>
      </c>
      <c r="G23" s="17">
        <f>D23+G22</f>
        <v>0</v>
      </c>
      <c r="H23" s="20">
        <f>H22+4</f>
        <v>44</v>
      </c>
    </row>
    <row r="24" ht="20.05" customHeight="1">
      <c r="A24" s="30">
        <v>2019</v>
      </c>
      <c r="B24" s="16"/>
      <c r="C24" s="17"/>
      <c r="D24" s="17">
        <f>B24+C24</f>
        <v>0</v>
      </c>
      <c r="E24" s="17">
        <f>B24+E23</f>
        <v>0</v>
      </c>
      <c r="F24" s="17">
        <f>C24+F23</f>
        <v>0</v>
      </c>
      <c r="G24" s="17">
        <f>D24+G23</f>
        <v>0</v>
      </c>
      <c r="H24" s="20">
        <f>H23+4</f>
        <v>48</v>
      </c>
    </row>
    <row r="25" ht="20.05" customHeight="1">
      <c r="A25" s="30">
        <v>2020</v>
      </c>
      <c r="B25" s="16"/>
      <c r="C25" s="17"/>
      <c r="D25" s="17">
        <f>B25+C25</f>
        <v>0</v>
      </c>
      <c r="E25" s="17">
        <f>B25+E24</f>
        <v>0</v>
      </c>
      <c r="F25" s="17">
        <f>C25+F24</f>
        <v>0</v>
      </c>
      <c r="G25" s="17">
        <f>D25+G24</f>
        <v>0</v>
      </c>
      <c r="H25" s="20">
        <f>H24+4</f>
        <v>52</v>
      </c>
    </row>
    <row r="26" ht="20.05" customHeight="1">
      <c r="A26" s="30">
        <v>2021</v>
      </c>
      <c r="B26" s="16"/>
      <c r="C26" s="17"/>
      <c r="D26" s="17">
        <f>B26+C26</f>
        <v>0</v>
      </c>
      <c r="E26" s="17">
        <f>B26+E25</f>
        <v>0</v>
      </c>
      <c r="F26" s="17">
        <f>C26+F25</f>
        <v>0</v>
      </c>
      <c r="G26" s="17">
        <f>D26+G25</f>
        <v>0</v>
      </c>
      <c r="H26" s="20">
        <f>H25+4</f>
        <v>56</v>
      </c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