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 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<sst xmlns="http://schemas.openxmlformats.org/spreadsheetml/2006/main" uniqueCount="59">
  <si>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</si>
  <si>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$m</t>
  </si>
  <si>
    <t>4Q 2022</t>
  </si>
  <si>
    <t>Cashflow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</si>
  <si>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</si>
  <si>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</si>
  <si>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</si>
  <si>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</si>
  <si>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</si>
  <si>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</si>
  <si>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</si>
  <si>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</si>
  <si>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</si>
  <si>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</si>
  <si>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</si>
  <si>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</si>
  <si>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</si>
  <si>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</si>
  <si>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</si>
  <si>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</si>
  <si>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</si>
  <si>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</si>
  <si>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</si>
  <si>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</si>
  <si>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</si>
  <si>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</si>
  <si>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</si>
  <si>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</si>
  <si>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</si>
  <si>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</si>
  <si>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</si>
  <si>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</si>
  <si>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</si>
  <si>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</si>
  <si>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</si>
  <si>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</si>
  <si>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</si>
  <si>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</si>
  <si>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</si>
  <si>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</si>
  <si>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</si>
  <si>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</si>
  <si>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</si>
  <si>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Profit quarterly</t>
  </si>
  <si>
    <t>FX gain (loss)</t>
  </si>
  <si>
    <t xml:space="preserve">Sales growth </t>
  </si>
  <si>
    <t xml:space="preserve">Cost ratio </t>
  </si>
  <si>
    <t xml:space="preserve">Cashflow costs </t>
  </si>
  <si>
    <t>Receipts</t>
  </si>
  <si>
    <t>Lease</t>
  </si>
  <si>
    <t>Liabilities</t>
  </si>
  <si>
    <t>Finance</t>
  </si>
  <si>
    <t xml:space="preserve">Free cashflow </t>
  </si>
  <si>
    <t>Cash</t>
  </si>
  <si>
    <t>Assets</t>
  </si>
  <si>
    <t>Check</t>
  </si>
  <si>
    <t>NIKL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</si>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</sst>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.0_);[Red]\(0.0\)"/>
    <numFmt numFmtId="60" formatCode="0.0"/>
    <numFmt numFmtId="61" formatCode="#,##0.0"/>
    <numFmt numFmtId="62" formatCode="#,##0%"/>
    <numFmt numFmtId="63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2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61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588025</xdr:colOff>
      <xdr:row>2</xdr:row>
      <xdr:rowOff>78036</xdr:rowOff>
    </xdr:from>
    <xdr:to>
      <xdr:col>13</xdr:col>
      <xdr:colOff>320778</xdr:colOff>
      <xdr:row>47</xdr:row>
      <xdr:rowOff>149526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706125" y="998786"/>
          <a:ext cx="8444954" cy="115351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3.4531" style="1" customWidth="1"/>
    <col min="2" max="2" width="15.6172" style="1" customWidth="1"/>
    <col min="3" max="6" width="9.45312" style="1" customWidth="1"/>
    <col min="7" max="16384" width="16.3516" style="1" customWidth="1"/>
  </cols>
  <sheetData>
    <row r="1" ht="44.8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AVERAGE('Sales'!H28:H31)</f>
        <v>0.160566582199213</v>
      </c>
      <c r="D4" s="8"/>
      <c r="E4" s="8"/>
      <c r="F4" s="9">
        <f>AVERAGE(C5:F5)</f>
        <v>0.0575</v>
      </c>
    </row>
    <row r="5" ht="20.05" customHeight="1">
      <c r="B5" t="s" s="10">
        <v>4</v>
      </c>
      <c r="C5" s="11">
        <v>0.1</v>
      </c>
      <c r="D5" s="12">
        <v>0.01</v>
      </c>
      <c r="E5" s="12">
        <v>0.05</v>
      </c>
      <c r="F5" s="12">
        <v>0.07000000000000001</v>
      </c>
    </row>
    <row r="6" ht="20.05" customHeight="1">
      <c r="B6" t="s" s="10">
        <v>5</v>
      </c>
      <c r="C6" s="13">
        <f>'Sales'!C31*(1+C5)</f>
        <v>74.8</v>
      </c>
      <c r="D6" s="14">
        <f>C6*(1+D5)</f>
        <v>75.548</v>
      </c>
      <c r="E6" s="14">
        <f>D6*(1+E5)</f>
        <v>79.3254</v>
      </c>
      <c r="F6" s="14">
        <f>E6*(1+F5)</f>
        <v>84.87817800000001</v>
      </c>
    </row>
    <row r="7" ht="20.05" customHeight="1">
      <c r="B7" t="s" s="10">
        <v>6</v>
      </c>
      <c r="C7" s="11">
        <f>AVERAGE('Sales'!J31)</f>
        <v>-0.9552053689468279</v>
      </c>
      <c r="D7" s="12">
        <f>C7</f>
        <v>-0.9552053689468279</v>
      </c>
      <c r="E7" s="12">
        <f>D7</f>
        <v>-0.9552053689468279</v>
      </c>
      <c r="F7" s="12">
        <f>E7</f>
        <v>-0.9552053689468279</v>
      </c>
    </row>
    <row r="8" ht="20.05" customHeight="1">
      <c r="B8" t="s" s="10">
        <v>7</v>
      </c>
      <c r="C8" s="15">
        <f>C6*C7</f>
        <v>-71.4493615972227</v>
      </c>
      <c r="D8" s="16">
        <f>D6*D7</f>
        <v>-72.16385521319501</v>
      </c>
      <c r="E8" s="16">
        <f>E6*E7</f>
        <v>-75.7720479738547</v>
      </c>
      <c r="F8" s="16">
        <f>F6*F7</f>
        <v>-81.0760913320245</v>
      </c>
    </row>
    <row r="9" ht="20.05" customHeight="1">
      <c r="B9" t="s" s="10">
        <v>8</v>
      </c>
      <c r="C9" s="17">
        <f>C6+C8</f>
        <v>3.3506384027773</v>
      </c>
      <c r="D9" s="18">
        <f>D6+D8</f>
        <v>3.384144786805</v>
      </c>
      <c r="E9" s="18">
        <f>E6+E8</f>
        <v>3.5533520261453</v>
      </c>
      <c r="F9" s="18">
        <f>F6+F8</f>
        <v>3.8020866679755</v>
      </c>
    </row>
    <row r="10" ht="20.05" customHeight="1">
      <c r="B10" t="s" s="10">
        <v>9</v>
      </c>
      <c r="C10" s="17">
        <f>AVERAGE('Cashflow'!F25:F31)</f>
        <v>-0.395428571428571</v>
      </c>
      <c r="D10" s="18">
        <f>C10</f>
        <v>-0.395428571428571</v>
      </c>
      <c r="E10" s="18">
        <f>D10</f>
        <v>-0.395428571428571</v>
      </c>
      <c r="F10" s="18">
        <f>E10</f>
        <v>-0.395428571428571</v>
      </c>
    </row>
    <row r="11" ht="20.05" customHeight="1">
      <c r="B11" t="s" s="10">
        <v>10</v>
      </c>
      <c r="C11" s="17">
        <f>C12+C13+C15</f>
        <v>-2.95520983134873</v>
      </c>
      <c r="D11" s="18">
        <f>D12+D13+D15</f>
        <v>-2.98871621537643</v>
      </c>
      <c r="E11" s="18">
        <f>E12+E13+E15</f>
        <v>-3.15792345471673</v>
      </c>
      <c r="F11" s="18">
        <f>F12+F13+F15</f>
        <v>-3.40665809654693</v>
      </c>
    </row>
    <row r="12" ht="20.05" customHeight="1">
      <c r="B12" t="s" s="10">
        <v>11</v>
      </c>
      <c r="C12" s="17">
        <f>-('Balance sheet'!G31)/20</f>
        <v>-6.65</v>
      </c>
      <c r="D12" s="18">
        <f>-C26/20</f>
        <v>-6.3175</v>
      </c>
      <c r="E12" s="18">
        <f>-D26/20</f>
        <v>-6.001625</v>
      </c>
      <c r="F12" s="18">
        <f>-E26/20</f>
        <v>-5.70154375</v>
      </c>
    </row>
    <row r="13" ht="20.05" customHeight="1">
      <c r="B13" t="s" s="10">
        <v>12</v>
      </c>
      <c r="C13" s="17">
        <f>IF(C21&gt;0,-C21*0.3,0)</f>
        <v>-0.76519152083319</v>
      </c>
      <c r="D13" s="18">
        <f>IF(D21&gt;0,-D21*0.3,0)</f>
        <v>-0.7752434360415</v>
      </c>
      <c r="E13" s="18">
        <f>IF(E21&gt;0,-E21*0.3,0)</f>
        <v>-0.82600560784359</v>
      </c>
      <c r="F13" s="18">
        <f>IF(F21&gt;0,-F21*0.3,0)</f>
        <v>-0.90062600039265</v>
      </c>
    </row>
    <row r="14" ht="20.05" customHeight="1">
      <c r="B14" t="s" s="10">
        <v>13</v>
      </c>
      <c r="C14" s="17">
        <f>C9+C10+C12+C13</f>
        <v>-4.45998168948446</v>
      </c>
      <c r="D14" s="18">
        <f>D9+D10+D12+D13</f>
        <v>-4.10402722066507</v>
      </c>
      <c r="E14" s="18">
        <f>E9+E10+E12+E13</f>
        <v>-3.66970715312686</v>
      </c>
      <c r="F14" s="18">
        <f>F9+F10+F12+F13</f>
        <v>-3.19551165384572</v>
      </c>
    </row>
    <row r="15" ht="20.05" customHeight="1">
      <c r="B15" t="s" s="10">
        <v>14</v>
      </c>
      <c r="C15" s="17">
        <f>-MIN(0,C14)</f>
        <v>4.45998168948446</v>
      </c>
      <c r="D15" s="18">
        <f>-MIN(C27,D14)</f>
        <v>4.10402722066507</v>
      </c>
      <c r="E15" s="18">
        <f>-MIN(D27,E14)</f>
        <v>3.66970715312686</v>
      </c>
      <c r="F15" s="18">
        <f>-MIN(E27,F14)</f>
        <v>3.19551165384572</v>
      </c>
    </row>
    <row r="16" ht="20.05" customHeight="1">
      <c r="B16" t="s" s="10">
        <v>15</v>
      </c>
      <c r="C16" s="17">
        <f>'Balance sheet'!C31</f>
        <v>28</v>
      </c>
      <c r="D16" s="18">
        <f>C18</f>
        <v>28</v>
      </c>
      <c r="E16" s="18">
        <f>D18</f>
        <v>28</v>
      </c>
      <c r="F16" s="18">
        <f>E18</f>
        <v>28</v>
      </c>
    </row>
    <row r="17" ht="20.05" customHeight="1">
      <c r="B17" t="s" s="10">
        <v>16</v>
      </c>
      <c r="C17" s="17">
        <f>C9+C10+C11</f>
        <v>-1e-15</v>
      </c>
      <c r="D17" s="18">
        <f>D9+D10+D11</f>
        <v>-1e-15</v>
      </c>
      <c r="E17" s="18">
        <f>E9+E10+E11</f>
        <v>-1e-15</v>
      </c>
      <c r="F17" s="18">
        <f>F9+F10+F11</f>
        <v>-1e-15</v>
      </c>
    </row>
    <row r="18" ht="20.05" customHeight="1">
      <c r="B18" t="s" s="10">
        <v>17</v>
      </c>
      <c r="C18" s="17">
        <f>C16+C17</f>
        <v>28</v>
      </c>
      <c r="D18" s="18">
        <f>D16+D17</f>
        <v>28</v>
      </c>
      <c r="E18" s="18">
        <f>E16+E17</f>
        <v>28</v>
      </c>
      <c r="F18" s="18">
        <f>F16+F17</f>
        <v>28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-AVERAGE('Sales'!E31)</f>
        <v>-0.8</v>
      </c>
      <c r="D20" s="18">
        <f>C20</f>
        <v>-0.8</v>
      </c>
      <c r="E20" s="18">
        <f>D20</f>
        <v>-0.8</v>
      </c>
      <c r="F20" s="18">
        <f>E20</f>
        <v>-0.8</v>
      </c>
    </row>
    <row r="21" ht="20.05" customHeight="1">
      <c r="B21" t="s" s="10">
        <v>20</v>
      </c>
      <c r="C21" s="17">
        <f>C6+C8+C20</f>
        <v>2.5506384027773</v>
      </c>
      <c r="D21" s="18">
        <f>D6+D8+D20</f>
        <v>2.584144786805</v>
      </c>
      <c r="E21" s="18">
        <f>E6+E8+E20</f>
        <v>2.7533520261453</v>
      </c>
      <c r="F21" s="18">
        <f>F6+F8+F20</f>
        <v>3.0020866679755</v>
      </c>
    </row>
    <row r="22" ht="20.05" customHeight="1">
      <c r="B22" t="s" s="19">
        <v>21</v>
      </c>
      <c r="C22" s="20"/>
      <c r="D22" s="21"/>
      <c r="E22" s="21"/>
      <c r="F22" s="21"/>
    </row>
    <row r="23" ht="20.05" customHeight="1">
      <c r="B23" t="s" s="10">
        <v>22</v>
      </c>
      <c r="C23" s="23">
        <f>'Balance sheet'!E31+'Balance sheet'!F31-C10</f>
        <v>192.395428571429</v>
      </c>
      <c r="D23" s="24">
        <f>C23-D10</f>
        <v>192.790857142858</v>
      </c>
      <c r="E23" s="24">
        <f>D23-E10</f>
        <v>193.186285714287</v>
      </c>
      <c r="F23" s="24">
        <f>E23-F10</f>
        <v>193.581714285716</v>
      </c>
    </row>
    <row r="24" ht="20.05" customHeight="1">
      <c r="B24" t="s" s="10">
        <v>23</v>
      </c>
      <c r="C24" s="23">
        <f>'Balance sheet'!F31-C20</f>
        <v>32.8</v>
      </c>
      <c r="D24" s="24">
        <f>C24-D20</f>
        <v>33.6</v>
      </c>
      <c r="E24" s="24">
        <f>D24-E20</f>
        <v>34.4</v>
      </c>
      <c r="F24" s="24">
        <f>E24-F20</f>
        <v>35.2</v>
      </c>
    </row>
    <row r="25" ht="20.05" customHeight="1">
      <c r="B25" t="s" s="10">
        <v>24</v>
      </c>
      <c r="C25" s="23">
        <f>C23-C24</f>
        <v>159.595428571429</v>
      </c>
      <c r="D25" s="24">
        <f>D23-D24</f>
        <v>159.190857142858</v>
      </c>
      <c r="E25" s="24">
        <f>E23-E24</f>
        <v>158.786285714287</v>
      </c>
      <c r="F25" s="24">
        <f>F23-F24</f>
        <v>158.381714285716</v>
      </c>
    </row>
    <row r="26" ht="20.05" customHeight="1">
      <c r="B26" t="s" s="10">
        <v>11</v>
      </c>
      <c r="C26" s="23">
        <f>'Balance sheet'!G31+C12</f>
        <v>126.35</v>
      </c>
      <c r="D26" s="24">
        <f>C26+D12</f>
        <v>120.0325</v>
      </c>
      <c r="E26" s="24">
        <f>D26+E12</f>
        <v>114.030875</v>
      </c>
      <c r="F26" s="24">
        <f>E26+F12</f>
        <v>108.32933125</v>
      </c>
    </row>
    <row r="27" ht="20.05" customHeight="1">
      <c r="B27" t="s" s="10">
        <v>14</v>
      </c>
      <c r="C27" s="23">
        <f>C15</f>
        <v>4.45998168948446</v>
      </c>
      <c r="D27" s="24">
        <f>C27+D15</f>
        <v>8.56400891014953</v>
      </c>
      <c r="E27" s="24">
        <f>D27+E15</f>
        <v>12.2337160632764</v>
      </c>
      <c r="F27" s="24">
        <f>E27+F15</f>
        <v>15.4292277171221</v>
      </c>
    </row>
    <row r="28" ht="20.05" customHeight="1">
      <c r="B28" t="s" s="10">
        <v>25</v>
      </c>
      <c r="C28" s="23">
        <f>'Balance sheet'!H31+C21+C13</f>
        <v>56.7854468819441</v>
      </c>
      <c r="D28" s="24">
        <f>C28+D21+D13</f>
        <v>58.5943482327076</v>
      </c>
      <c r="E28" s="24">
        <f>D28+E21+E13</f>
        <v>60.5216946510093</v>
      </c>
      <c r="F28" s="24">
        <f>E28+F21+F13</f>
        <v>62.6231553185922</v>
      </c>
    </row>
    <row r="29" ht="20.05" customHeight="1">
      <c r="B29" t="s" s="10">
        <v>26</v>
      </c>
      <c r="C29" s="23">
        <f>C26+C27+C28-C18-C25</f>
        <v>-4.4e-13</v>
      </c>
      <c r="D29" s="24">
        <f>D26+D27+D28-D18-D25</f>
        <v>-8.7e-13</v>
      </c>
      <c r="E29" s="24">
        <f>E26+E27+E28-E18-E25</f>
        <v>-1.3e-12</v>
      </c>
      <c r="F29" s="24">
        <f>F26+F27+F28-F18-F25</f>
        <v>-1.7e-12</v>
      </c>
    </row>
    <row r="30" ht="20.05" customHeight="1">
      <c r="B30" t="s" s="10">
        <v>27</v>
      </c>
      <c r="C30" s="23">
        <f>C18-C26-C27</f>
        <v>-102.809981689484</v>
      </c>
      <c r="D30" s="24">
        <f>D18-D26-D27</f>
        <v>-100.596508910150</v>
      </c>
      <c r="E30" s="24">
        <f>E18-E26-E27</f>
        <v>-98.2645910632764</v>
      </c>
      <c r="F30" s="24">
        <f>F18-F26-F27</f>
        <v>-95.7585589671221</v>
      </c>
    </row>
    <row r="31" ht="20.05" customHeight="1">
      <c r="B31" t="s" s="19">
        <v>28</v>
      </c>
      <c r="C31" s="23"/>
      <c r="D31" s="24"/>
      <c r="E31" s="24"/>
      <c r="F31" s="22"/>
    </row>
    <row r="32" ht="20.05" customHeight="1">
      <c r="B32" t="s" s="10">
        <v>29</v>
      </c>
      <c r="C32" s="23"/>
      <c r="D32" s="24"/>
      <c r="E32" s="24"/>
      <c r="F32" s="24">
        <v>14</v>
      </c>
    </row>
    <row r="33" ht="20.05" customHeight="1">
      <c r="B33" t="s" s="10">
        <v>30</v>
      </c>
      <c r="C33" s="23">
        <f>'Cashflow'!M31-C11</f>
        <v>1.15520983134873</v>
      </c>
      <c r="D33" s="24">
        <f>C33-D11</f>
        <v>4.14392604672516</v>
      </c>
      <c r="E33" s="24">
        <f>D33-E11</f>
        <v>7.30184950144189</v>
      </c>
      <c r="F33" s="24">
        <f>E33-F11</f>
        <v>10.7085075979888</v>
      </c>
    </row>
    <row r="34" ht="20.05" customHeight="1">
      <c r="B34" t="s" s="10">
        <v>31</v>
      </c>
      <c r="C34" s="23"/>
      <c r="D34" s="24"/>
      <c r="E34" s="24"/>
      <c r="F34" s="24">
        <v>2775685017600</v>
      </c>
    </row>
    <row r="35" ht="20.05" customHeight="1">
      <c r="B35" t="s" s="10">
        <v>31</v>
      </c>
      <c r="C35" s="23"/>
      <c r="D35" s="24"/>
      <c r="E35" s="24"/>
      <c r="F35" s="24">
        <f>(F34/1000000000)/F32</f>
        <v>198.263215542857</v>
      </c>
    </row>
    <row r="36" ht="20.05" customHeight="1">
      <c r="B36" t="s" s="10">
        <v>32</v>
      </c>
      <c r="C36" s="23"/>
      <c r="D36" s="24"/>
      <c r="E36" s="24"/>
      <c r="F36" s="25">
        <f>F35/(F18+F25)</f>
        <v>1.06374821319074</v>
      </c>
    </row>
    <row r="37" ht="20.05" customHeight="1">
      <c r="B37" t="s" s="10">
        <v>33</v>
      </c>
      <c r="C37" s="23"/>
      <c r="D37" s="24"/>
      <c r="E37" s="24"/>
      <c r="F37" s="26">
        <f>-(C13+D13+E13+F13)/F35</f>
        <v>0.0164784302330894</v>
      </c>
    </row>
    <row r="38" ht="20.05" customHeight="1">
      <c r="B38" t="s" s="10">
        <v>3</v>
      </c>
      <c r="C38" s="23"/>
      <c r="D38" s="24"/>
      <c r="E38" s="24"/>
      <c r="F38" s="24">
        <f>SUM(C9:F10)</f>
        <v>12.5085075979888</v>
      </c>
    </row>
    <row r="39" ht="20.05" customHeight="1">
      <c r="B39" t="s" s="10">
        <v>34</v>
      </c>
      <c r="C39" s="23"/>
      <c r="D39" s="24"/>
      <c r="E39" s="24"/>
      <c r="F39" s="24">
        <f>'Balance sheet'!E31/F38</f>
        <v>12.7912941449327</v>
      </c>
    </row>
    <row r="40" ht="20.05" customHeight="1">
      <c r="B40" t="s" s="10">
        <v>28</v>
      </c>
      <c r="C40" s="23"/>
      <c r="D40" s="24"/>
      <c r="E40" s="24"/>
      <c r="F40" s="24">
        <f>F35/F38</f>
        <v>15.8502694258054</v>
      </c>
    </row>
    <row r="41" ht="20.05" customHeight="1">
      <c r="B41" t="s" s="10">
        <v>35</v>
      </c>
      <c r="C41" s="23"/>
      <c r="D41" s="24"/>
      <c r="E41" s="24"/>
      <c r="F41" s="24">
        <v>25</v>
      </c>
    </row>
    <row r="42" ht="20.05" customHeight="1">
      <c r="B42" t="s" s="10">
        <v>36</v>
      </c>
      <c r="C42" s="23"/>
      <c r="D42" s="24"/>
      <c r="E42" s="24"/>
      <c r="F42" s="24">
        <f>F41*F38</f>
        <v>312.712689949720</v>
      </c>
    </row>
    <row r="43" ht="20.05" customHeight="1">
      <c r="B43" t="s" s="10">
        <v>37</v>
      </c>
      <c r="C43" s="23"/>
      <c r="D43" s="24"/>
      <c r="E43" s="24"/>
      <c r="F43" s="24">
        <v>2.52307692307692</v>
      </c>
    </row>
    <row r="44" ht="20.05" customHeight="1">
      <c r="B44" t="s" s="10">
        <v>38</v>
      </c>
      <c r="C44" s="27"/>
      <c r="D44" s="28"/>
      <c r="E44" s="28"/>
      <c r="F44" s="28">
        <f>(F42/F43)*F32</f>
        <v>1735.174072281990</v>
      </c>
    </row>
    <row r="45" ht="20.05" customHeight="1">
      <c r="B45" t="s" s="10">
        <v>39</v>
      </c>
      <c r="C45" s="27"/>
      <c r="D45" s="28"/>
      <c r="E45" s="28"/>
      <c r="F45" s="28">
        <v>1100</v>
      </c>
    </row>
    <row r="46" ht="20.05" customHeight="1">
      <c r="B46" t="s" s="10">
        <v>40</v>
      </c>
      <c r="C46" s="27"/>
      <c r="D46" s="28"/>
      <c r="E46" s="28"/>
      <c r="F46" s="29">
        <f>F44/F45-1</f>
        <v>0.577430974801809</v>
      </c>
    </row>
    <row r="47" ht="20.05" customHeight="1">
      <c r="B47" t="s" s="10">
        <v>41</v>
      </c>
      <c r="C47" s="27"/>
      <c r="D47" s="28"/>
      <c r="E47" s="28"/>
      <c r="F47" s="29">
        <f>'Sales'!C31/'Sales'!C27-1</f>
        <v>0.7571059431524551</v>
      </c>
    </row>
    <row r="48" ht="20.05" customHeight="1">
      <c r="B48" t="s" s="10">
        <v>42</v>
      </c>
      <c r="C48" s="27"/>
      <c r="D48" s="28"/>
      <c r="E48" s="28"/>
      <c r="F48" s="26">
        <f>('Sales'!D25+'Sales'!D31+'Sales'!D26+'Sales'!D27+'Sales'!D28+'Sales'!D29+'Sales'!D30)/('Sales'!C25+'Sales'!C26+'Sales'!C27+'Sales'!C28+'Sales'!C29+'Sales'!C31+'Sales'!C30)-1</f>
        <v>-0.0420808363423257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75" style="30" customWidth="1"/>
    <col min="2" max="2" width="8.29688" style="30" customWidth="1"/>
    <col min="3" max="12" width="10.4844" style="30" customWidth="1"/>
    <col min="13" max="16384" width="16.3516" style="30" customWidth="1"/>
  </cols>
  <sheetData>
    <row r="1" ht="26.15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5</v>
      </c>
      <c r="D3" t="s" s="5">
        <v>35</v>
      </c>
      <c r="E3" t="s" s="5">
        <v>23</v>
      </c>
      <c r="F3" t="s" s="5">
        <v>44</v>
      </c>
      <c r="G3" t="s" s="5">
        <v>20</v>
      </c>
      <c r="H3" t="s" s="5">
        <v>45</v>
      </c>
      <c r="I3" t="s" s="5">
        <v>46</v>
      </c>
      <c r="J3" t="s" s="5">
        <v>46</v>
      </c>
      <c r="K3" t="s" s="5">
        <v>35</v>
      </c>
      <c r="L3" t="s" s="5">
        <v>47</v>
      </c>
    </row>
    <row r="4" ht="20.25" customHeight="1">
      <c r="B4" s="31">
        <v>2015</v>
      </c>
      <c r="C4" s="32">
        <v>35.6</v>
      </c>
      <c r="D4" s="33"/>
      <c r="E4" s="34">
        <v>0.7</v>
      </c>
      <c r="F4" s="34">
        <v>0</v>
      </c>
      <c r="G4" s="34">
        <v>-0.1</v>
      </c>
      <c r="H4" s="9"/>
      <c r="I4" s="9">
        <f>(E4+G4-F4-C4)/C4</f>
        <v>-0.98314606741573</v>
      </c>
      <c r="J4" s="9"/>
      <c r="K4" s="9"/>
      <c r="L4" s="9"/>
    </row>
    <row r="5" ht="20.05" customHeight="1">
      <c r="B5" s="35"/>
      <c r="C5" s="17">
        <v>37.6</v>
      </c>
      <c r="D5" s="21"/>
      <c r="E5" s="18">
        <v>0.8</v>
      </c>
      <c r="F5" s="18">
        <v>0</v>
      </c>
      <c r="G5" s="18">
        <v>-1.8</v>
      </c>
      <c r="H5" s="12">
        <f>C5/C4-1</f>
        <v>0.0561797752808989</v>
      </c>
      <c r="I5" s="12">
        <f>(E5+G5-F5-C5)/C5</f>
        <v>-1.02659574468085</v>
      </c>
      <c r="J5" s="12"/>
      <c r="K5" s="12"/>
      <c r="L5" s="12"/>
    </row>
    <row r="6" ht="20.05" customHeight="1">
      <c r="B6" s="35"/>
      <c r="C6" s="17">
        <v>31.4</v>
      </c>
      <c r="D6" s="21"/>
      <c r="E6" s="18">
        <v>0.7</v>
      </c>
      <c r="F6" s="18">
        <v>0</v>
      </c>
      <c r="G6" s="18">
        <v>-4.6</v>
      </c>
      <c r="H6" s="12">
        <f>C6/C5-1</f>
        <v>-0.164893617021277</v>
      </c>
      <c r="I6" s="12">
        <f>(E6+G6-F6-C6)/C6</f>
        <v>-1.12420382165605</v>
      </c>
      <c r="J6" s="12"/>
      <c r="K6" s="12"/>
      <c r="L6" s="12"/>
    </row>
    <row r="7" ht="20.05" customHeight="1">
      <c r="B7" s="35"/>
      <c r="C7" s="17">
        <v>32.7</v>
      </c>
      <c r="D7" s="21"/>
      <c r="E7" s="18">
        <v>0.8</v>
      </c>
      <c r="F7" s="18">
        <v>0</v>
      </c>
      <c r="G7" s="18">
        <v>0.5</v>
      </c>
      <c r="H7" s="12">
        <f>C7/C6-1</f>
        <v>0.0414012738853503</v>
      </c>
      <c r="I7" s="12">
        <f>(E7+G7-F7-C7)/C7</f>
        <v>-0.960244648318043</v>
      </c>
      <c r="J7" s="12"/>
      <c r="K7" s="12"/>
      <c r="L7" s="12"/>
    </row>
    <row r="8" ht="20.05" customHeight="1">
      <c r="B8" s="36">
        <v>2016</v>
      </c>
      <c r="C8" s="17">
        <v>35</v>
      </c>
      <c r="D8" s="21"/>
      <c r="E8" s="18">
        <v>0.7</v>
      </c>
      <c r="F8" s="18">
        <v>0</v>
      </c>
      <c r="G8" s="18">
        <v>-0.3</v>
      </c>
      <c r="H8" s="12">
        <f>C8/C7-1</f>
        <v>0.0703363914373089</v>
      </c>
      <c r="I8" s="12">
        <f>(E8+G8-F8-C8)/C8</f>
        <v>-0.988571428571429</v>
      </c>
      <c r="J8" s="12"/>
      <c r="K8" s="12"/>
      <c r="L8" s="12">
        <f>('Cashflow'!E8-'Cashflow'!C8)/'Cashflow'!C8</f>
        <v>-0.869668246445498</v>
      </c>
    </row>
    <row r="9" ht="20.05" customHeight="1">
      <c r="B9" s="35"/>
      <c r="C9" s="17">
        <v>31</v>
      </c>
      <c r="D9" s="21"/>
      <c r="E9" s="18">
        <v>0.8</v>
      </c>
      <c r="F9" s="18">
        <v>0</v>
      </c>
      <c r="G9" s="18">
        <v>1</v>
      </c>
      <c r="H9" s="12">
        <f>C9/C8-1</f>
        <v>-0.114285714285714</v>
      </c>
      <c r="I9" s="12">
        <f>(E9+G9-F9-C9)/C9</f>
        <v>-0.941935483870968</v>
      </c>
      <c r="J9" s="12"/>
      <c r="K9" s="12"/>
      <c r="L9" s="12">
        <f>('Cashflow'!E9-'Cashflow'!C9)/'Cashflow'!C9</f>
        <v>-0.602597402597403</v>
      </c>
    </row>
    <row r="10" ht="20.05" customHeight="1">
      <c r="B10" s="35"/>
      <c r="C10" s="17">
        <v>31.4</v>
      </c>
      <c r="D10" s="21"/>
      <c r="E10" s="18">
        <v>0.7</v>
      </c>
      <c r="F10" s="18">
        <v>0</v>
      </c>
      <c r="G10" s="18">
        <v>1</v>
      </c>
      <c r="H10" s="12">
        <f>C10/C9-1</f>
        <v>0.0129032258064516</v>
      </c>
      <c r="I10" s="12">
        <f>(E10+G10-F10-C10)/C10</f>
        <v>-0.945859872611465</v>
      </c>
      <c r="J10" s="12"/>
      <c r="K10" s="12"/>
      <c r="L10" s="12">
        <f>('Cashflow'!E10-'Cashflow'!C10)/'Cashflow'!C10</f>
        <v>-0.9290322580645159</v>
      </c>
    </row>
    <row r="11" ht="20.05" customHeight="1">
      <c r="B11" s="35"/>
      <c r="C11" s="17">
        <v>34.2</v>
      </c>
      <c r="D11" s="21"/>
      <c r="E11" s="18">
        <v>0.7</v>
      </c>
      <c r="F11" s="18">
        <v>0</v>
      </c>
      <c r="G11" s="18">
        <v>0.8</v>
      </c>
      <c r="H11" s="12">
        <f>C11/C10-1</f>
        <v>0.089171974522293</v>
      </c>
      <c r="I11" s="12">
        <f>(E11+G11-F11-C11)/C11</f>
        <v>-0.956140350877193</v>
      </c>
      <c r="J11" s="12">
        <f>AVERAGE(I8:I11)</f>
        <v>-0.958126783982764</v>
      </c>
      <c r="K11" s="12"/>
      <c r="L11" s="12">
        <f>('Cashflow'!E11-'Cashflow'!C11)/'Cashflow'!C11</f>
        <v>-1.27544910179641</v>
      </c>
    </row>
    <row r="12" ht="20.05" customHeight="1">
      <c r="B12" s="36">
        <v>2017</v>
      </c>
      <c r="C12" s="17">
        <v>36.5</v>
      </c>
      <c r="D12" s="21"/>
      <c r="E12" s="18">
        <v>0.6</v>
      </c>
      <c r="F12" s="18">
        <v>0</v>
      </c>
      <c r="G12" s="18">
        <v>-0.5</v>
      </c>
      <c r="H12" s="12">
        <f>C12/C11-1</f>
        <v>0.0672514619883041</v>
      </c>
      <c r="I12" s="12">
        <f>(E12+G12-F12-C12)/C12</f>
        <v>-0.997260273972603</v>
      </c>
      <c r="J12" s="12">
        <f>AVERAGE(I9:I12)</f>
        <v>-0.960298995333057</v>
      </c>
      <c r="K12" s="12"/>
      <c r="L12" s="12">
        <f>('Cashflow'!E12-'Cashflow'!C12)/'Cashflow'!C12</f>
        <v>-0.96</v>
      </c>
    </row>
    <row r="13" ht="20.05" customHeight="1">
      <c r="B13" s="35"/>
      <c r="C13" s="17">
        <v>35.9</v>
      </c>
      <c r="D13" s="21"/>
      <c r="E13" s="18">
        <v>0.5</v>
      </c>
      <c r="F13" s="18">
        <v>0</v>
      </c>
      <c r="G13" s="18">
        <v>0</v>
      </c>
      <c r="H13" s="12">
        <f>C13/C12-1</f>
        <v>-0.0164383561643836</v>
      </c>
      <c r="I13" s="12">
        <f>(E13+G13-F13-C13)/C13</f>
        <v>-0.986072423398329</v>
      </c>
      <c r="J13" s="12">
        <f>AVERAGE(I10:I13)</f>
        <v>-0.971333230214898</v>
      </c>
      <c r="K13" s="12"/>
      <c r="L13" s="12">
        <f>('Cashflow'!E13-'Cashflow'!C13)/'Cashflow'!C13</f>
        <v>-1.05729166666667</v>
      </c>
    </row>
    <row r="14" ht="20.05" customHeight="1">
      <c r="B14" s="35"/>
      <c r="C14" s="17">
        <v>37.6</v>
      </c>
      <c r="D14" s="21"/>
      <c r="E14" s="18">
        <v>0.6</v>
      </c>
      <c r="F14" s="18">
        <v>0</v>
      </c>
      <c r="G14" s="18">
        <v>0.8</v>
      </c>
      <c r="H14" s="12">
        <f>C14/C13-1</f>
        <v>0.0473537604456825</v>
      </c>
      <c r="I14" s="12">
        <f>(E14+G14-F14-C14)/C14</f>
        <v>-0.962765957446809</v>
      </c>
      <c r="J14" s="12">
        <f>AVERAGE(I11:I14)</f>
        <v>-0.975559751423734</v>
      </c>
      <c r="K14" s="12"/>
      <c r="L14" s="12">
        <f>('Cashflow'!E14-'Cashflow'!C14)/'Cashflow'!C14</f>
        <v>-1.16019417475728</v>
      </c>
    </row>
    <row r="15" ht="20.05" customHeight="1">
      <c r="B15" s="35"/>
      <c r="C15" s="17">
        <v>41.7</v>
      </c>
      <c r="D15" s="21"/>
      <c r="E15" s="18">
        <v>0.6</v>
      </c>
      <c r="F15" s="18">
        <v>0</v>
      </c>
      <c r="G15" s="18">
        <v>1</v>
      </c>
      <c r="H15" s="12">
        <f>C15/C14-1</f>
        <v>0.109042553191489</v>
      </c>
      <c r="I15" s="12">
        <f>(E15+G15-F15-C15)/C15</f>
        <v>-0.961630695443645</v>
      </c>
      <c r="J15" s="12">
        <f>AVERAGE(I12:I15)</f>
        <v>-0.976932337565347</v>
      </c>
      <c r="K15" s="12"/>
      <c r="L15" s="12">
        <f>('Cashflow'!E15-'Cashflow'!C15)/'Cashflow'!C15</f>
        <v>-1.10928961748634</v>
      </c>
    </row>
    <row r="16" ht="20.05" customHeight="1">
      <c r="B16" s="36">
        <v>2018</v>
      </c>
      <c r="C16" s="17">
        <v>43.7</v>
      </c>
      <c r="D16" s="21"/>
      <c r="E16" s="18">
        <v>0.5</v>
      </c>
      <c r="F16" s="18">
        <v>0</v>
      </c>
      <c r="G16" s="18">
        <v>-0.1</v>
      </c>
      <c r="H16" s="12">
        <f>C16/C15-1</f>
        <v>0.0479616306954436</v>
      </c>
      <c r="I16" s="12">
        <f>(E16+G16-F16-C16)/C16</f>
        <v>-0.990846681922197</v>
      </c>
      <c r="J16" s="12">
        <f>AVERAGE(I13:I16)</f>
        <v>-0.975328939552745</v>
      </c>
      <c r="K16" s="12"/>
      <c r="L16" s="12">
        <f>('Cashflow'!E16-'Cashflow'!C16)/'Cashflow'!C16</f>
        <v>-0.919917864476386</v>
      </c>
    </row>
    <row r="17" ht="20.05" customHeight="1">
      <c r="B17" s="35"/>
      <c r="C17" s="17">
        <v>38</v>
      </c>
      <c r="D17" s="21"/>
      <c r="E17" s="18">
        <v>0.5</v>
      </c>
      <c r="F17" s="18">
        <v>0</v>
      </c>
      <c r="G17" s="18">
        <v>-1.4</v>
      </c>
      <c r="H17" s="12">
        <f>C17/C16-1</f>
        <v>-0.130434782608696</v>
      </c>
      <c r="I17" s="12">
        <f>(E17+G17-F17-C17)/C17</f>
        <v>-1.02368421052632</v>
      </c>
      <c r="J17" s="12">
        <f>AVERAGE(I14:I17)</f>
        <v>-0.984731886334743</v>
      </c>
      <c r="K17" s="12"/>
      <c r="L17" s="12">
        <f>('Cashflow'!E17-'Cashflow'!C17)/'Cashflow'!C17</f>
        <v>-0.961636828644501</v>
      </c>
    </row>
    <row r="18" ht="20.05" customHeight="1">
      <c r="B18" s="35"/>
      <c r="C18" s="17">
        <v>41.7</v>
      </c>
      <c r="D18" s="21"/>
      <c r="E18" s="18">
        <v>0.6</v>
      </c>
      <c r="F18" s="18">
        <v>0</v>
      </c>
      <c r="G18" s="18">
        <v>-1.7</v>
      </c>
      <c r="H18" s="12">
        <f>C18/C17-1</f>
        <v>0.0973684210526316</v>
      </c>
      <c r="I18" s="12">
        <f>(E18+G18-F18-C18)/C18</f>
        <v>-1.02637889688249</v>
      </c>
      <c r="J18" s="12">
        <f>AVERAGE(I15:I18)</f>
        <v>-1.00063512119366</v>
      </c>
      <c r="K18" s="12"/>
      <c r="L18" s="12">
        <f>('Cashflow'!E18-'Cashflow'!C18)/'Cashflow'!C18</f>
        <v>-1.2421875</v>
      </c>
    </row>
    <row r="19" ht="20.05" customHeight="1">
      <c r="B19" s="35"/>
      <c r="C19" s="17">
        <v>39.7</v>
      </c>
      <c r="D19" s="21"/>
      <c r="E19" s="18">
        <v>0.6</v>
      </c>
      <c r="F19" s="18">
        <v>0</v>
      </c>
      <c r="G19" s="18">
        <v>1.7</v>
      </c>
      <c r="H19" s="12">
        <f>C19/C18-1</f>
        <v>-0.0479616306954436</v>
      </c>
      <c r="I19" s="12">
        <f>(E19+G19-F19-C19)/C19</f>
        <v>-0.9420654911838789</v>
      </c>
      <c r="J19" s="12">
        <f>AVERAGE(I16:I19)</f>
        <v>-0.995743820128722</v>
      </c>
      <c r="K19" s="12"/>
      <c r="L19" s="12">
        <f>('Cashflow'!E19-'Cashflow'!C19)/'Cashflow'!C19</f>
        <v>-0.995359628770302</v>
      </c>
    </row>
    <row r="20" ht="20.05" customHeight="1">
      <c r="B20" s="36">
        <v>2019</v>
      </c>
      <c r="C20" s="17">
        <v>50.6</v>
      </c>
      <c r="D20" s="21"/>
      <c r="E20" s="18">
        <v>0.6</v>
      </c>
      <c r="F20" s="18">
        <v>0</v>
      </c>
      <c r="G20" s="18">
        <v>2.2</v>
      </c>
      <c r="H20" s="12">
        <f>C20/C19-1</f>
        <v>0.27455919395466</v>
      </c>
      <c r="I20" s="12">
        <f>(E20+G20-F20-C20)/C20</f>
        <v>-0.944664031620553</v>
      </c>
      <c r="J20" s="12">
        <f>AVERAGE(I17:I20)</f>
        <v>-0.984198157553311</v>
      </c>
      <c r="K20" s="12"/>
      <c r="L20" s="12">
        <f>('Cashflow'!E20-'Cashflow'!C20)/'Cashflow'!C20</f>
        <v>-0.917148362235067</v>
      </c>
    </row>
    <row r="21" ht="20.05" customHeight="1">
      <c r="B21" s="35"/>
      <c r="C21" s="17">
        <v>32.4</v>
      </c>
      <c r="D21" s="21"/>
      <c r="E21" s="18">
        <v>0.6</v>
      </c>
      <c r="F21" s="18">
        <v>0</v>
      </c>
      <c r="G21" s="18">
        <v>0.2</v>
      </c>
      <c r="H21" s="12">
        <f>C21/C20-1</f>
        <v>-0.359683794466403</v>
      </c>
      <c r="I21" s="12">
        <f>(E21+G21-F21-C21)/C21</f>
        <v>-0.975308641975309</v>
      </c>
      <c r="J21" s="12">
        <f>AVERAGE(I18:I21)</f>
        <v>-0.9721042654155581</v>
      </c>
      <c r="K21" s="12"/>
      <c r="L21" s="12">
        <f>('Cashflow'!E21-'Cashflow'!C21)/'Cashflow'!C21</f>
        <v>-0.926</v>
      </c>
    </row>
    <row r="22" ht="20.05" customHeight="1">
      <c r="B22" s="35"/>
      <c r="C22" s="17">
        <v>40.8</v>
      </c>
      <c r="D22" s="21"/>
      <c r="E22" s="18">
        <v>0.6</v>
      </c>
      <c r="F22" s="18">
        <v>0</v>
      </c>
      <c r="G22" s="18">
        <v>-0.6</v>
      </c>
      <c r="H22" s="12">
        <f>C22/C21-1</f>
        <v>0.259259259259259</v>
      </c>
      <c r="I22" s="12">
        <f>(E22+G22-F22-C22)/C22</f>
        <v>-1</v>
      </c>
      <c r="J22" s="12">
        <f>AVERAGE(I19:I22)</f>
        <v>-0.965509541194935</v>
      </c>
      <c r="K22" s="12"/>
      <c r="L22" s="12">
        <f>('Cashflow'!E22-'Cashflow'!C22)/'Cashflow'!C22</f>
        <v>-1.03508771929825</v>
      </c>
    </row>
    <row r="23" ht="20.05" customHeight="1">
      <c r="B23" s="35"/>
      <c r="C23" s="17">
        <v>39.3</v>
      </c>
      <c r="D23" s="21"/>
      <c r="E23" s="18">
        <v>0.6</v>
      </c>
      <c r="F23" s="18">
        <v>0</v>
      </c>
      <c r="G23" s="18">
        <v>0.9</v>
      </c>
      <c r="H23" s="12">
        <f>C23/C22-1</f>
        <v>-0.0367647058823529</v>
      </c>
      <c r="I23" s="12">
        <f>(E23+G23-F23-C23)/C23</f>
        <v>-0.961832061068702</v>
      </c>
      <c r="J23" s="12">
        <f>AVERAGE(I20:I23)</f>
        <v>-0.970451183666141</v>
      </c>
      <c r="K23" s="12"/>
      <c r="L23" s="12">
        <f>('Cashflow'!E23-'Cashflow'!C23)/'Cashflow'!C23</f>
        <v>-0.915294117647059</v>
      </c>
    </row>
    <row r="24" ht="20.05" customHeight="1">
      <c r="B24" s="36">
        <v>2020</v>
      </c>
      <c r="C24" s="17">
        <v>38.018</v>
      </c>
      <c r="D24" s="21"/>
      <c r="E24" s="18">
        <v>0.61</v>
      </c>
      <c r="F24" s="18">
        <v>-9.6</v>
      </c>
      <c r="G24" s="18">
        <v>-10.14</v>
      </c>
      <c r="H24" s="12">
        <f>C24/C23-1</f>
        <v>-0.0326208651399491</v>
      </c>
      <c r="I24" s="12">
        <f>(E24+G24-F24-C24)/C24</f>
        <v>-0.99815876689989</v>
      </c>
      <c r="J24" s="12">
        <f>AVERAGE(I21:I24)</f>
        <v>-0.983824867485975</v>
      </c>
      <c r="K24" s="12"/>
      <c r="L24" s="12">
        <f>('Cashflow'!E24-'Cashflow'!C24)/'Cashflow'!C24</f>
        <v>-0.962722891566265</v>
      </c>
    </row>
    <row r="25" ht="20.05" customHeight="1">
      <c r="B25" s="35"/>
      <c r="C25" s="17">
        <v>31.719</v>
      </c>
      <c r="D25" s="16">
        <v>34.992</v>
      </c>
      <c r="E25" s="18">
        <v>0.6</v>
      </c>
      <c r="F25" s="18">
        <v>9.401999999999999</v>
      </c>
      <c r="G25" s="18">
        <v>10.43</v>
      </c>
      <c r="H25" s="12">
        <f>C25/C24-1</f>
        <v>-0.165684675679941</v>
      </c>
      <c r="I25" s="12">
        <f>(E25+G25-F25-C25)/C25</f>
        <v>-0.948674296163183</v>
      </c>
      <c r="J25" s="12">
        <f>AVERAGE(I22:I25)</f>
        <v>-0.977166281032944</v>
      </c>
      <c r="K25" s="12"/>
      <c r="L25" s="12">
        <f>('Cashflow'!E25-'Cashflow'!C25)/'Cashflow'!C25</f>
        <v>-0.866740196078431</v>
      </c>
    </row>
    <row r="26" ht="20.05" customHeight="1">
      <c r="B26" s="35"/>
      <c r="C26" s="17">
        <f>106-SUM(C24:C25)</f>
        <v>36.263</v>
      </c>
      <c r="D26" s="16">
        <v>38.76</v>
      </c>
      <c r="E26" s="18">
        <f>1.8-SUM(E24:E25)</f>
        <v>0.59</v>
      </c>
      <c r="F26" s="18">
        <f>-2.1-F25-F24</f>
        <v>-1.902</v>
      </c>
      <c r="G26" s="18">
        <f>-1.05-SUM(G24:G25)</f>
        <v>-1.34</v>
      </c>
      <c r="H26" s="12">
        <f>C26/C25-1</f>
        <v>0.143257984173524</v>
      </c>
      <c r="I26" s="12">
        <f>(E26+G26-F26-C26)/C26</f>
        <v>-0.9682320822877311</v>
      </c>
      <c r="J26" s="12">
        <f>AVERAGE(I23:I26)</f>
        <v>-0.969224301604877</v>
      </c>
      <c r="K26" s="12"/>
      <c r="L26" s="12">
        <f>('Cashflow'!E26-'Cashflow'!C26)/'Cashflow'!C26</f>
        <v>-1.07668571428571</v>
      </c>
    </row>
    <row r="27" ht="20.05" customHeight="1">
      <c r="B27" s="35"/>
      <c r="C27" s="17">
        <f>144.7-SUM(C24:C26)</f>
        <v>38.7</v>
      </c>
      <c r="D27" s="16">
        <v>39.8893</v>
      </c>
      <c r="E27" s="18">
        <f>0.4+2.4</f>
        <v>2.8</v>
      </c>
      <c r="F27" s="18">
        <f>0.2-SUM(F24:F26)</f>
        <v>2.3</v>
      </c>
      <c r="G27" s="18">
        <f>2.5-SUM(G24:G26)</f>
        <v>3.55</v>
      </c>
      <c r="H27" s="12">
        <f>C27/C26-1</f>
        <v>0.0672034856465268</v>
      </c>
      <c r="I27" s="12">
        <f>(E27+G27-F27-C27)/C27</f>
        <v>-0.895348837209302</v>
      </c>
      <c r="J27" s="12">
        <f>AVERAGE(I24:I27)</f>
        <v>-0.952603495640027</v>
      </c>
      <c r="K27" s="12"/>
      <c r="L27" s="12">
        <f>('Cashflow'!E27-'Cashflow'!C27)/'Cashflow'!C27</f>
        <v>-0.900473933649289</v>
      </c>
    </row>
    <row r="28" ht="20.05" customHeight="1">
      <c r="B28" s="36">
        <v>2021</v>
      </c>
      <c r="C28" s="17">
        <v>47</v>
      </c>
      <c r="D28" s="16">
        <v>40.635</v>
      </c>
      <c r="E28" s="21">
        <f>0.6</f>
        <v>0.6</v>
      </c>
      <c r="F28" s="18">
        <v>-1</v>
      </c>
      <c r="G28" s="18">
        <v>1.5</v>
      </c>
      <c r="H28" s="12">
        <f>C28/C27-1</f>
        <v>0.214470284237726</v>
      </c>
      <c r="I28" s="12">
        <f>(E28+G28-F28-C28)/C28</f>
        <v>-0.934042553191489</v>
      </c>
      <c r="J28" s="12">
        <f>AVERAGE(I25:I28)</f>
        <v>-0.936574442212926</v>
      </c>
      <c r="K28" s="12"/>
      <c r="L28" s="12">
        <f>('Cashflow'!E28-'Cashflow'!C28)/'Cashflow'!C28</f>
        <v>-0.959493670886076</v>
      </c>
    </row>
    <row r="29" ht="20.05" customHeight="1">
      <c r="B29" s="35"/>
      <c r="C29" s="17">
        <f>90.6-C28</f>
        <v>43.6</v>
      </c>
      <c r="D29" s="16">
        <v>42.3</v>
      </c>
      <c r="E29" s="21">
        <v>0.6</v>
      </c>
      <c r="F29" s="18">
        <f>-0.8-F28</f>
        <v>0.2</v>
      </c>
      <c r="G29" s="18">
        <f>2.5-G28</f>
        <v>1</v>
      </c>
      <c r="H29" s="12">
        <f>C29/C28-1</f>
        <v>-0.0723404255319149</v>
      </c>
      <c r="I29" s="12">
        <f>(E29+G29-F29-C29)/C29</f>
        <v>-0.967889908256881</v>
      </c>
      <c r="J29" s="12">
        <f>AVERAGE(I26:I29)</f>
        <v>-0.941378345236351</v>
      </c>
      <c r="K29" s="12"/>
      <c r="L29" s="12">
        <f>('Cashflow'!E29-'Cashflow'!C29)/'Cashflow'!C29</f>
        <v>-0.856880733944954</v>
      </c>
    </row>
    <row r="30" ht="20.05" customHeight="1">
      <c r="B30" s="35"/>
      <c r="C30" s="17">
        <f>142.7-SUM(C28:C29)</f>
        <v>52.1</v>
      </c>
      <c r="D30" s="21">
        <v>50.14</v>
      </c>
      <c r="E30" s="21">
        <f>0.3+1.8-SUM(E28:E29)</f>
        <v>0.9</v>
      </c>
      <c r="F30" s="21">
        <f>-0.6-SUM(F28:F29)</f>
        <v>0.2</v>
      </c>
      <c r="G30" s="18">
        <f>4.8-SUM(G28:G29)</f>
        <v>2.3</v>
      </c>
      <c r="H30" s="12">
        <f>C30/C29-1</f>
        <v>0.194954128440367</v>
      </c>
      <c r="I30" s="12">
        <f>(E30+G30-F30-C30)/C30</f>
        <v>-0.942418426103647</v>
      </c>
      <c r="J30" s="12">
        <f>AVERAGE(I27:I30)</f>
        <v>-0.93492493119033</v>
      </c>
      <c r="K30" s="12"/>
      <c r="L30" s="12">
        <f>('Cashflow'!E30-'Cashflow'!C30)/'Cashflow'!C30</f>
        <v>-1.21841541755889</v>
      </c>
    </row>
    <row r="31" ht="20.05" customHeight="1">
      <c r="B31" s="35"/>
      <c r="C31" s="17">
        <f>210.7-SUM(C28:C30)</f>
        <v>68</v>
      </c>
      <c r="D31" s="21">
        <v>57.31</v>
      </c>
      <c r="E31" s="21">
        <f>0.1+0.3+2.5-SUM(E28:E30)</f>
        <v>0.8</v>
      </c>
      <c r="F31" s="18">
        <f>-0.3-SUM(F28:F30)</f>
        <v>0.3</v>
      </c>
      <c r="G31" s="18">
        <f>5.9-SUM(G28:G30)</f>
        <v>1.1</v>
      </c>
      <c r="H31" s="12">
        <f>C31/C30-1</f>
        <v>0.305182341650672</v>
      </c>
      <c r="I31" s="12">
        <f>(E31+G31-F31-C31)/C31</f>
        <v>-0.976470588235294</v>
      </c>
      <c r="J31" s="12">
        <f>AVERAGE(I28:I31)</f>
        <v>-0.9552053689468279</v>
      </c>
      <c r="K31" s="12">
        <f>J31</f>
        <v>-0.9552053689468279</v>
      </c>
      <c r="L31" s="12">
        <f>('Cashflow'!E31-'Cashflow'!C31)/'Cashflow'!C31</f>
        <v>-1.0139751552795</v>
      </c>
    </row>
    <row r="32" ht="20.05" customHeight="1">
      <c r="B32" s="36">
        <v>2022</v>
      </c>
      <c r="C32" s="17"/>
      <c r="D32" s="21">
        <f>'Model '!C6</f>
        <v>74.8</v>
      </c>
      <c r="E32" s="21"/>
      <c r="F32" s="18"/>
      <c r="G32" s="18"/>
      <c r="H32" s="12"/>
      <c r="I32" s="22"/>
      <c r="J32" s="12"/>
      <c r="K32" s="12">
        <f>'Model '!C7</f>
        <v>-0.9552053689468279</v>
      </c>
      <c r="L32" s="12"/>
    </row>
    <row r="33" ht="20.05" customHeight="1">
      <c r="B33" s="35"/>
      <c r="C33" s="17"/>
      <c r="D33" s="16">
        <f>'Model '!D6</f>
        <v>75.548</v>
      </c>
      <c r="E33" s="21"/>
      <c r="F33" s="21"/>
      <c r="G33" s="18"/>
      <c r="H33" s="12"/>
      <c r="I33" s="12"/>
      <c r="J33" s="12"/>
      <c r="K33" s="12"/>
      <c r="L33" s="12"/>
    </row>
    <row r="34" ht="20.05" customHeight="1">
      <c r="B34" s="35"/>
      <c r="C34" s="17"/>
      <c r="D34" s="16">
        <f>'Model '!E6</f>
        <v>79.3254</v>
      </c>
      <c r="E34" s="21"/>
      <c r="F34" s="21"/>
      <c r="G34" s="18"/>
      <c r="H34" s="12"/>
      <c r="I34" s="12"/>
      <c r="J34" s="12"/>
      <c r="K34" s="12"/>
      <c r="L34" s="12"/>
    </row>
    <row r="35" ht="20.05" customHeight="1">
      <c r="B35" s="35"/>
      <c r="C35" s="17"/>
      <c r="D35" s="16">
        <f>'Model '!F6</f>
        <v>84.87817800000001</v>
      </c>
      <c r="E35" s="21"/>
      <c r="F35" s="21"/>
      <c r="G35" s="18"/>
      <c r="H35" s="12"/>
      <c r="I35" s="12"/>
      <c r="J35" s="12"/>
      <c r="K35" s="12"/>
      <c r="L35" s="12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5859" style="37" customWidth="1"/>
    <col min="2" max="2" width="8.375" style="37" customWidth="1"/>
    <col min="3" max="3" width="11.8438" style="37" customWidth="1"/>
    <col min="4" max="5" width="10.4062" style="37" customWidth="1"/>
    <col min="6" max="6" width="12.0547" style="37" customWidth="1"/>
    <col min="7" max="14" width="11.2734" style="37" customWidth="1"/>
    <col min="15" max="16384" width="16.3516" style="37" customWidth="1"/>
  </cols>
  <sheetData>
    <row r="1" ht="38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48</v>
      </c>
      <c r="D3" t="s" s="5">
        <v>49</v>
      </c>
      <c r="E3" t="s" s="5">
        <v>8</v>
      </c>
      <c r="F3" t="s" s="5">
        <v>9</v>
      </c>
      <c r="G3" t="s" s="5">
        <v>50</v>
      </c>
      <c r="H3" t="s" s="5">
        <v>12</v>
      </c>
      <c r="I3" t="s" s="5">
        <v>51</v>
      </c>
      <c r="J3" t="s" s="5">
        <v>52</v>
      </c>
      <c r="K3" t="s" s="5">
        <v>3</v>
      </c>
      <c r="L3" t="s" s="5">
        <v>35</v>
      </c>
      <c r="M3" t="s" s="5">
        <v>30</v>
      </c>
      <c r="N3" t="s" s="5">
        <v>35</v>
      </c>
    </row>
    <row r="4" ht="20.25" customHeight="1">
      <c r="B4" s="31">
        <v>2015</v>
      </c>
      <c r="C4" s="32"/>
      <c r="D4" s="34"/>
      <c r="E4" s="34">
        <v>1.9</v>
      </c>
      <c r="F4" s="34">
        <v>-0.1</v>
      </c>
      <c r="G4" s="34"/>
      <c r="H4" s="34"/>
      <c r="I4" s="34">
        <v>-0.9</v>
      </c>
      <c r="J4" s="34">
        <f>E4+F4</f>
        <v>1.8</v>
      </c>
      <c r="K4" s="38"/>
      <c r="L4" s="34"/>
      <c r="M4" s="34">
        <f>-I4</f>
        <v>0.9</v>
      </c>
      <c r="N4" s="34"/>
    </row>
    <row r="5" ht="20.05" customHeight="1">
      <c r="B5" s="35"/>
      <c r="C5" s="17"/>
      <c r="D5" s="18"/>
      <c r="E5" s="18">
        <v>7.4</v>
      </c>
      <c r="F5" s="18">
        <v>-0.1</v>
      </c>
      <c r="G5" s="18"/>
      <c r="H5" s="18"/>
      <c r="I5" s="18">
        <v>-8</v>
      </c>
      <c r="J5" s="18">
        <f>E5+F5</f>
        <v>7.3</v>
      </c>
      <c r="K5" s="16"/>
      <c r="L5" s="18"/>
      <c r="M5" s="18">
        <f>-I5+M4</f>
        <v>8.9</v>
      </c>
      <c r="N5" s="18"/>
    </row>
    <row r="6" ht="20.05" customHeight="1">
      <c r="B6" s="35"/>
      <c r="C6" s="17"/>
      <c r="D6" s="18"/>
      <c r="E6" s="18">
        <v>3.7</v>
      </c>
      <c r="F6" s="18">
        <v>-0.1</v>
      </c>
      <c r="G6" s="18"/>
      <c r="H6" s="18"/>
      <c r="I6" s="18">
        <v>-1.7</v>
      </c>
      <c r="J6" s="18">
        <f>E6+F6</f>
        <v>3.6</v>
      </c>
      <c r="K6" s="16"/>
      <c r="L6" s="18"/>
      <c r="M6" s="18">
        <f>-I6+M5</f>
        <v>10.6</v>
      </c>
      <c r="N6" s="18"/>
    </row>
    <row r="7" ht="20.05" customHeight="1">
      <c r="B7" s="35"/>
      <c r="C7" s="17"/>
      <c r="D7" s="18"/>
      <c r="E7" s="18">
        <v>-3.1</v>
      </c>
      <c r="F7" s="18">
        <v>-0.2</v>
      </c>
      <c r="G7" s="18"/>
      <c r="H7" s="18"/>
      <c r="I7" s="18">
        <v>4.6</v>
      </c>
      <c r="J7" s="18">
        <f>E7+F7</f>
        <v>-3.3</v>
      </c>
      <c r="K7" s="16"/>
      <c r="L7" s="18"/>
      <c r="M7" s="18">
        <f>-I7+M6</f>
        <v>6</v>
      </c>
      <c r="N7" s="18"/>
    </row>
    <row r="8" ht="20.05" customHeight="1">
      <c r="B8" s="36">
        <v>2016</v>
      </c>
      <c r="C8" s="17">
        <v>42.2</v>
      </c>
      <c r="D8" s="18"/>
      <c r="E8" s="18">
        <v>5.5</v>
      </c>
      <c r="F8" s="18">
        <v>-0.03</v>
      </c>
      <c r="G8" s="18"/>
      <c r="H8" s="18"/>
      <c r="I8" s="18">
        <v>-7.6</v>
      </c>
      <c r="J8" s="18">
        <f>E8+F8</f>
        <v>5.47</v>
      </c>
      <c r="K8" s="18">
        <f>AVERAGE(J5:J8)</f>
        <v>3.2675</v>
      </c>
      <c r="L8" s="18"/>
      <c r="M8" s="18">
        <f>-I8+M7</f>
        <v>13.6</v>
      </c>
      <c r="N8" s="18"/>
    </row>
    <row r="9" ht="20.05" customHeight="1">
      <c r="B9" s="35"/>
      <c r="C9" s="17">
        <f>80.7-C8</f>
        <v>38.5</v>
      </c>
      <c r="D9" s="18"/>
      <c r="E9" s="18">
        <v>15.3</v>
      </c>
      <c r="F9" s="18">
        <v>-0.07000000000000001</v>
      </c>
      <c r="G9" s="18"/>
      <c r="H9" s="18"/>
      <c r="I9" s="18">
        <v>3.6</v>
      </c>
      <c r="J9" s="18">
        <f>E9+F9</f>
        <v>15.23</v>
      </c>
      <c r="K9" s="18">
        <f>AVERAGE(J6:J9)</f>
        <v>5.25</v>
      </c>
      <c r="L9" s="18"/>
      <c r="M9" s="18">
        <f>-I9+M8</f>
        <v>10</v>
      </c>
      <c r="N9" s="18"/>
    </row>
    <row r="10" ht="20.05" customHeight="1">
      <c r="B10" s="35"/>
      <c r="C10" s="17">
        <f>111.7-SUM(C8:C9)</f>
        <v>31</v>
      </c>
      <c r="D10" s="18"/>
      <c r="E10" s="18">
        <v>2.2</v>
      </c>
      <c r="F10" s="18">
        <v>-0.1</v>
      </c>
      <c r="G10" s="18"/>
      <c r="H10" s="18"/>
      <c r="I10" s="18">
        <v>-4.7</v>
      </c>
      <c r="J10" s="18">
        <f>E10+F10</f>
        <v>2.1</v>
      </c>
      <c r="K10" s="18">
        <f>AVERAGE(J7:J10)</f>
        <v>4.875</v>
      </c>
      <c r="L10" s="18"/>
      <c r="M10" s="18">
        <f>-I10+M9</f>
        <v>14.7</v>
      </c>
      <c r="N10" s="18"/>
    </row>
    <row r="11" ht="20.05" customHeight="1">
      <c r="B11" s="35"/>
      <c r="C11" s="17">
        <f>145.1-SUM(C8:C10)</f>
        <v>33.4</v>
      </c>
      <c r="D11" s="18"/>
      <c r="E11" s="18">
        <v>-9.199999999999999</v>
      </c>
      <c r="F11" s="18">
        <v>-0.1</v>
      </c>
      <c r="G11" s="18"/>
      <c r="H11" s="18"/>
      <c r="I11" s="18">
        <v>7.8</v>
      </c>
      <c r="J11" s="18">
        <f>E11+F11</f>
        <v>-9.300000000000001</v>
      </c>
      <c r="K11" s="18">
        <f>AVERAGE(J8:J11)</f>
        <v>3.375</v>
      </c>
      <c r="L11" s="18"/>
      <c r="M11" s="18">
        <f>-I11+M10</f>
        <v>6.9</v>
      </c>
      <c r="N11" s="18"/>
    </row>
    <row r="12" ht="20.05" customHeight="1">
      <c r="B12" s="36">
        <v>2017</v>
      </c>
      <c r="C12" s="17">
        <v>40</v>
      </c>
      <c r="D12" s="18"/>
      <c r="E12" s="18">
        <v>1.6</v>
      </c>
      <c r="F12" s="18">
        <v>-0.2</v>
      </c>
      <c r="G12" s="18"/>
      <c r="H12" s="18"/>
      <c r="I12" s="18">
        <v>-7</v>
      </c>
      <c r="J12" s="18">
        <f>E12+F12</f>
        <v>1.4</v>
      </c>
      <c r="K12" s="18">
        <f>AVERAGE(J9:J12)</f>
        <v>2.3575</v>
      </c>
      <c r="L12" s="18"/>
      <c r="M12" s="18">
        <f>-I12+M11</f>
        <v>13.9</v>
      </c>
      <c r="N12" s="18"/>
    </row>
    <row r="13" ht="20.05" customHeight="1">
      <c r="B13" s="35"/>
      <c r="C13" s="17">
        <f>78.4-C12</f>
        <v>38.4</v>
      </c>
      <c r="D13" s="18"/>
      <c r="E13" s="18">
        <v>-2.2</v>
      </c>
      <c r="F13" s="18">
        <v>-0.2</v>
      </c>
      <c r="G13" s="18"/>
      <c r="H13" s="18"/>
      <c r="I13" s="18">
        <v>4.2</v>
      </c>
      <c r="J13" s="18">
        <f>E13+F13</f>
        <v>-2.4</v>
      </c>
      <c r="K13" s="18">
        <f>AVERAGE(J10:J13)</f>
        <v>-2.05</v>
      </c>
      <c r="L13" s="18"/>
      <c r="M13" s="18">
        <f>-I13+M12</f>
        <v>9.699999999999999</v>
      </c>
      <c r="N13" s="18"/>
    </row>
    <row r="14" ht="20.05" customHeight="1">
      <c r="B14" s="35"/>
      <c r="C14" s="17">
        <f>119.6-SUM(C12:C13)</f>
        <v>41.2</v>
      </c>
      <c r="D14" s="18"/>
      <c r="E14" s="18">
        <v>-6.6</v>
      </c>
      <c r="F14" s="18">
        <v>-0.4</v>
      </c>
      <c r="G14" s="18"/>
      <c r="H14" s="18"/>
      <c r="I14" s="18">
        <v>3.9</v>
      </c>
      <c r="J14" s="18">
        <f>E14+F14</f>
        <v>-7</v>
      </c>
      <c r="K14" s="18">
        <f>AVERAGE(J11:J14)</f>
        <v>-4.325</v>
      </c>
      <c r="L14" s="18"/>
      <c r="M14" s="18">
        <f>-I14+M13</f>
        <v>5.8</v>
      </c>
      <c r="N14" s="18"/>
    </row>
    <row r="15" ht="20.05" customHeight="1">
      <c r="B15" s="35"/>
      <c r="C15" s="17">
        <f>156.2-SUM(C12:C14)</f>
        <v>36.6</v>
      </c>
      <c r="D15" s="18"/>
      <c r="E15" s="18">
        <v>-4</v>
      </c>
      <c r="F15" s="18">
        <v>-0.9</v>
      </c>
      <c r="G15" s="18"/>
      <c r="H15" s="18"/>
      <c r="I15" s="18">
        <v>5.3</v>
      </c>
      <c r="J15" s="18">
        <f>E15+F15</f>
        <v>-4.9</v>
      </c>
      <c r="K15" s="18">
        <f>AVERAGE(J12:J15)</f>
        <v>-3.225</v>
      </c>
      <c r="L15" s="18"/>
      <c r="M15" s="18">
        <f>-I15+M14</f>
        <v>0.5</v>
      </c>
      <c r="N15" s="18"/>
    </row>
    <row r="16" ht="20.05" customHeight="1">
      <c r="B16" s="36">
        <v>2018</v>
      </c>
      <c r="C16" s="17">
        <f>48.7</f>
        <v>48.7</v>
      </c>
      <c r="D16" s="18"/>
      <c r="E16" s="18">
        <v>3.9</v>
      </c>
      <c r="F16" s="18">
        <v>-0.3</v>
      </c>
      <c r="G16" s="18"/>
      <c r="H16" s="18"/>
      <c r="I16" s="18">
        <v>-10.4</v>
      </c>
      <c r="J16" s="18">
        <f>E16+F16</f>
        <v>3.6</v>
      </c>
      <c r="K16" s="18">
        <f>AVERAGE(J13:J16)</f>
        <v>-2.675</v>
      </c>
      <c r="L16" s="18"/>
      <c r="M16" s="18">
        <f>-I16+M15</f>
        <v>10.9</v>
      </c>
      <c r="N16" s="18"/>
    </row>
    <row r="17" ht="20.05" customHeight="1">
      <c r="B17" s="35"/>
      <c r="C17" s="17">
        <f>87.8-C16</f>
        <v>39.1</v>
      </c>
      <c r="D17" s="18"/>
      <c r="E17" s="18">
        <v>1.5</v>
      </c>
      <c r="F17" s="18">
        <v>-0.7</v>
      </c>
      <c r="G17" s="18"/>
      <c r="H17" s="18"/>
      <c r="I17" s="18">
        <v>1.1</v>
      </c>
      <c r="J17" s="18">
        <f>E17+F17</f>
        <v>0.8</v>
      </c>
      <c r="K17" s="18">
        <f>AVERAGE(J14:J17)</f>
        <v>-1.875</v>
      </c>
      <c r="L17" s="18"/>
      <c r="M17" s="18">
        <f>-I17+M16</f>
        <v>9.800000000000001</v>
      </c>
      <c r="N17" s="18"/>
    </row>
    <row r="18" ht="20.05" customHeight="1">
      <c r="B18" s="35"/>
      <c r="C18" s="17">
        <f>126.2-SUM(C16:C17)</f>
        <v>38.4</v>
      </c>
      <c r="D18" s="18"/>
      <c r="E18" s="18">
        <v>-9.300000000000001</v>
      </c>
      <c r="F18" s="18">
        <v>-0.5</v>
      </c>
      <c r="G18" s="18"/>
      <c r="H18" s="18"/>
      <c r="I18" s="18">
        <v>7.8</v>
      </c>
      <c r="J18" s="18">
        <f>E18+F18</f>
        <v>-9.800000000000001</v>
      </c>
      <c r="K18" s="18">
        <f>AVERAGE(J15:J18)</f>
        <v>-2.575</v>
      </c>
      <c r="L18" s="18"/>
      <c r="M18" s="18">
        <f>-I18+M17</f>
        <v>2</v>
      </c>
      <c r="N18" s="18"/>
    </row>
    <row r="19" ht="20.05" customHeight="1">
      <c r="B19" s="35"/>
      <c r="C19" s="17">
        <f>169.3-SUM(C16:C18)</f>
        <v>43.1</v>
      </c>
      <c r="D19" s="18"/>
      <c r="E19" s="18">
        <v>0.2</v>
      </c>
      <c r="F19" s="18">
        <v>-0.1</v>
      </c>
      <c r="G19" s="18"/>
      <c r="H19" s="18"/>
      <c r="I19" s="18">
        <v>-0.1</v>
      </c>
      <c r="J19" s="18">
        <f>E19+F19</f>
        <v>0.1</v>
      </c>
      <c r="K19" s="18">
        <f>AVERAGE(J16:J19)</f>
        <v>-1.325</v>
      </c>
      <c r="L19" s="18"/>
      <c r="M19" s="18">
        <f>-I19+M18</f>
        <v>2.1</v>
      </c>
      <c r="N19" s="18"/>
    </row>
    <row r="20" ht="20.05" customHeight="1">
      <c r="B20" s="36">
        <v>2019</v>
      </c>
      <c r="C20" s="17">
        <v>51.9</v>
      </c>
      <c r="D20" s="18"/>
      <c r="E20" s="18">
        <v>4.3</v>
      </c>
      <c r="F20" s="18">
        <v>-0.4</v>
      </c>
      <c r="G20" s="18"/>
      <c r="H20" s="18"/>
      <c r="I20" s="18">
        <v>-8.6</v>
      </c>
      <c r="J20" s="18">
        <f>E20+F20</f>
        <v>3.9</v>
      </c>
      <c r="K20" s="18">
        <f>AVERAGE(J17:J20)</f>
        <v>-1.25</v>
      </c>
      <c r="L20" s="18"/>
      <c r="M20" s="18">
        <f>-I20+M19</f>
        <v>10.7</v>
      </c>
      <c r="N20" s="18"/>
    </row>
    <row r="21" ht="20.05" customHeight="1">
      <c r="B21" s="35"/>
      <c r="C21" s="17">
        <f>101.9-C20</f>
        <v>50</v>
      </c>
      <c r="D21" s="18"/>
      <c r="E21" s="18">
        <v>3.7</v>
      </c>
      <c r="F21" s="18">
        <v>-0.1</v>
      </c>
      <c r="G21" s="18"/>
      <c r="H21" s="18"/>
      <c r="I21" s="18">
        <v>-4.1</v>
      </c>
      <c r="J21" s="18">
        <f>E21+F21</f>
        <v>3.6</v>
      </c>
      <c r="K21" s="18">
        <f>AVERAGE(J18:J21)</f>
        <v>-0.55</v>
      </c>
      <c r="L21" s="18"/>
      <c r="M21" s="18">
        <f>-I21+M20</f>
        <v>14.8</v>
      </c>
      <c r="N21" s="18"/>
    </row>
    <row r="22" ht="20.05" customHeight="1">
      <c r="B22" s="35"/>
      <c r="C22" s="17">
        <f>141.8-SUM(C20:C21)</f>
        <v>39.9</v>
      </c>
      <c r="D22" s="18"/>
      <c r="E22" s="18">
        <v>-1.4</v>
      </c>
      <c r="F22" s="18">
        <v>-0.2</v>
      </c>
      <c r="G22" s="18"/>
      <c r="H22" s="18"/>
      <c r="I22" s="18">
        <v>7.6</v>
      </c>
      <c r="J22" s="18">
        <f>E22+F22</f>
        <v>-1.6</v>
      </c>
      <c r="K22" s="18">
        <f>AVERAGE(J19:J22)</f>
        <v>1.5</v>
      </c>
      <c r="L22" s="18"/>
      <c r="M22" s="18">
        <f>-I22+M21</f>
        <v>7.2</v>
      </c>
      <c r="N22" s="18"/>
    </row>
    <row r="23" ht="20.05" customHeight="1">
      <c r="B23" s="35"/>
      <c r="C23" s="17">
        <f>184.3-SUM(C20:C22)</f>
        <v>42.5</v>
      </c>
      <c r="D23" s="18"/>
      <c r="E23" s="18">
        <v>3.6</v>
      </c>
      <c r="F23" s="18">
        <v>-0.9</v>
      </c>
      <c r="G23" s="18"/>
      <c r="H23" s="18"/>
      <c r="I23" s="18">
        <v>13.5</v>
      </c>
      <c r="J23" s="18">
        <f>E23+F23</f>
        <v>2.7</v>
      </c>
      <c r="K23" s="18">
        <f>AVERAGE(J20:J23)</f>
        <v>2.15</v>
      </c>
      <c r="L23" s="18"/>
      <c r="M23" s="18">
        <f>-I23+M22</f>
        <v>-6.3</v>
      </c>
      <c r="N23" s="18"/>
    </row>
    <row r="24" ht="20.05" customHeight="1">
      <c r="B24" s="36">
        <v>2020</v>
      </c>
      <c r="C24" s="17">
        <v>41.5</v>
      </c>
      <c r="D24" s="18">
        <v>0</v>
      </c>
      <c r="E24" s="18">
        <v>1.547</v>
      </c>
      <c r="F24" s="18">
        <v>-0.032</v>
      </c>
      <c r="G24" s="18">
        <f>33.1-30.1</f>
        <v>3</v>
      </c>
      <c r="H24" s="18">
        <v>0</v>
      </c>
      <c r="I24" s="18">
        <v>2.9</v>
      </c>
      <c r="J24" s="18">
        <f>E24+F24</f>
        <v>1.515</v>
      </c>
      <c r="K24" s="18">
        <f>AVERAGE(J21:J24)</f>
        <v>1.55375</v>
      </c>
      <c r="L24" s="18"/>
      <c r="M24" s="18">
        <f>-I24+M23</f>
        <v>-9.199999999999999</v>
      </c>
      <c r="N24" s="18"/>
    </row>
    <row r="25" ht="20.05" customHeight="1">
      <c r="B25" s="35"/>
      <c r="C25" s="17">
        <f>82.3-C24</f>
        <v>40.8</v>
      </c>
      <c r="D25" s="18">
        <v>0</v>
      </c>
      <c r="E25" s="18">
        <v>5.437</v>
      </c>
      <c r="F25" s="18">
        <v>-0.05</v>
      </c>
      <c r="G25" s="18">
        <f>86.4-99.3-G24</f>
        <v>-15.9</v>
      </c>
      <c r="H25" s="18">
        <v>0</v>
      </c>
      <c r="I25" s="18">
        <v>-15.766</v>
      </c>
      <c r="J25" s="18">
        <f>E25+F25</f>
        <v>5.387</v>
      </c>
      <c r="K25" s="18">
        <f>AVERAGE(J22:J25)</f>
        <v>2.0005</v>
      </c>
      <c r="L25" s="18"/>
      <c r="M25" s="18">
        <f>-I25+M24</f>
        <v>6.566</v>
      </c>
      <c r="N25" s="18"/>
    </row>
    <row r="26" ht="20.05" customHeight="1">
      <c r="B26" s="35"/>
      <c r="C26" s="17">
        <f>117.3-SUM(C24:C25)</f>
        <v>35</v>
      </c>
      <c r="D26" s="18">
        <v>0</v>
      </c>
      <c r="E26" s="18">
        <f>4.3-SUM(E24:E25)</f>
        <v>-2.684</v>
      </c>
      <c r="F26" s="18">
        <f>-0.2-SUM(F24:F25)</f>
        <v>-0.118</v>
      </c>
      <c r="G26" s="18">
        <f>141.5-159.4-SUM(G24:G25)</f>
        <v>-5</v>
      </c>
      <c r="H26" s="18">
        <v>0</v>
      </c>
      <c r="I26" s="18">
        <f>-17.9-SUM(I24:I25)</f>
        <v>-5.034</v>
      </c>
      <c r="J26" s="18">
        <f>E26+F26</f>
        <v>-2.802</v>
      </c>
      <c r="K26" s="18">
        <f>AVERAGE(J23:J26)</f>
        <v>1.7</v>
      </c>
      <c r="L26" s="18"/>
      <c r="M26" s="18">
        <f>-I26+M25</f>
        <v>11.6</v>
      </c>
      <c r="N26" s="18"/>
    </row>
    <row r="27" ht="20.05" customHeight="1">
      <c r="B27" s="35"/>
      <c r="C27" s="17">
        <f>159.5-SUM(C24:C26)</f>
        <v>42.2</v>
      </c>
      <c r="D27" s="18">
        <f>-0.4-SUM(D24:D26)</f>
        <v>-0.4</v>
      </c>
      <c r="E27" s="18">
        <f>8.5-SUM(E24:E26)</f>
        <v>4.2</v>
      </c>
      <c r="F27" s="18">
        <f>-0.6-SUM(F24:F26)</f>
        <v>-0.4</v>
      </c>
      <c r="G27" s="18">
        <f>246.1-267.1-SUM(G24:G26)</f>
        <v>-3.1</v>
      </c>
      <c r="H27" s="18">
        <v>0</v>
      </c>
      <c r="I27" s="18">
        <f>-21.4-SUM(I24:I26)</f>
        <v>-3.5</v>
      </c>
      <c r="J27" s="18">
        <f>E27+F27</f>
        <v>3.8</v>
      </c>
      <c r="K27" s="18">
        <f>AVERAGE(J24:J27)</f>
        <v>1.975</v>
      </c>
      <c r="L27" s="18"/>
      <c r="M27" s="18">
        <f>-I27+M26</f>
        <v>15.1</v>
      </c>
      <c r="N27" s="18"/>
    </row>
    <row r="28" ht="20.05" customHeight="1">
      <c r="B28" s="36">
        <v>2021</v>
      </c>
      <c r="C28" s="15">
        <v>39.5</v>
      </c>
      <c r="D28" s="18">
        <v>-0.1</v>
      </c>
      <c r="E28" s="18">
        <v>1.6</v>
      </c>
      <c r="F28" s="18">
        <v>-0.4</v>
      </c>
      <c r="G28" s="16">
        <f>28.4-21.7</f>
        <v>6.7</v>
      </c>
      <c r="H28" s="16">
        <v>0</v>
      </c>
      <c r="I28" s="16">
        <f>6.6</f>
        <v>6.6</v>
      </c>
      <c r="J28" s="18">
        <f>E28+F28</f>
        <v>1.2</v>
      </c>
      <c r="K28" s="18">
        <f>AVERAGE(J25:J28)</f>
        <v>1.89625</v>
      </c>
      <c r="L28" s="18"/>
      <c r="M28" s="18">
        <f>-I28+M27</f>
        <v>8.5</v>
      </c>
      <c r="N28" s="18"/>
    </row>
    <row r="29" ht="20.05" customHeight="1">
      <c r="B29" s="35"/>
      <c r="C29" s="15">
        <f>94-C28</f>
        <v>54.5</v>
      </c>
      <c r="D29" s="18">
        <f>-0.2-D28</f>
        <v>-0.1</v>
      </c>
      <c r="E29" s="18">
        <f>9.4-E28</f>
        <v>7.8</v>
      </c>
      <c r="F29" s="18">
        <f>-0.6-F28</f>
        <v>-0.2</v>
      </c>
      <c r="G29" s="16">
        <f>190.2-187.1-G28</f>
        <v>-3.6</v>
      </c>
      <c r="H29" s="16">
        <v>0</v>
      </c>
      <c r="I29" s="16">
        <f>2.9-I28</f>
        <v>-3.7</v>
      </c>
      <c r="J29" s="18">
        <f>E29+F29</f>
        <v>7.6</v>
      </c>
      <c r="K29" s="18">
        <f>AVERAGE(J26:J29)</f>
        <v>2.4495</v>
      </c>
      <c r="L29" s="18"/>
      <c r="M29" s="18">
        <f>-I29+M28</f>
        <v>12.2</v>
      </c>
      <c r="N29" s="18"/>
    </row>
    <row r="30" ht="20.05" customHeight="1">
      <c r="B30" s="35"/>
      <c r="C30" s="15">
        <f>140.7-SUM(C28:C29)</f>
        <v>46.7</v>
      </c>
      <c r="D30" s="18">
        <f>-0.3-SUM(D28:D29)</f>
        <v>-0.1</v>
      </c>
      <c r="E30" s="18">
        <f>-0.8-SUM(E28:E29)</f>
        <v>-10.2</v>
      </c>
      <c r="F30" s="18">
        <f>-0.96-SUM(F28:F29)</f>
        <v>-0.36</v>
      </c>
      <c r="G30" s="16">
        <f>289.3-271.1-SUM(G28:G29)</f>
        <v>15.1</v>
      </c>
      <c r="H30" s="16">
        <v>0</v>
      </c>
      <c r="I30" s="16">
        <f>17.8-SUM(I28:I29)</f>
        <v>14.9</v>
      </c>
      <c r="J30" s="18">
        <f>E30+F30</f>
        <v>-10.56</v>
      </c>
      <c r="K30" s="18">
        <f>AVERAGE(J27:J30)</f>
        <v>0.51</v>
      </c>
      <c r="L30" s="18"/>
      <c r="M30" s="18">
        <f>-I30+M29</f>
        <v>-2.7</v>
      </c>
      <c r="N30" s="18"/>
    </row>
    <row r="31" ht="20.05" customHeight="1">
      <c r="B31" s="35"/>
      <c r="C31" s="15">
        <f>205.1-SUM(C28:C30)</f>
        <v>64.40000000000001</v>
      </c>
      <c r="D31" s="18">
        <f>-0.5-SUM(D28:D30)</f>
        <v>-0.2</v>
      </c>
      <c r="E31" s="18">
        <f>-1.7-SUM(E28:E30)</f>
        <v>-0.9</v>
      </c>
      <c r="F31" s="18">
        <f>-2.2-SUM(F28:F30)</f>
        <v>-1.24</v>
      </c>
      <c r="G31" s="16">
        <f>603.4-586-SUM(G28:G30)</f>
        <v>-0.8</v>
      </c>
      <c r="H31" s="16">
        <v>0</v>
      </c>
      <c r="I31" s="16">
        <f>16.9-SUM(I28:I30)</f>
        <v>-0.9</v>
      </c>
      <c r="J31" s="18">
        <f>E31+F31</f>
        <v>-2.14</v>
      </c>
      <c r="K31" s="18">
        <f>AVERAGE(J28:J31)</f>
        <v>-0.975</v>
      </c>
      <c r="L31" s="18">
        <f>K31</f>
        <v>-0.975</v>
      </c>
      <c r="M31" s="18">
        <f>-I31+M30</f>
        <v>-1.8</v>
      </c>
      <c r="N31" s="18">
        <f>M31</f>
        <v>-1.8</v>
      </c>
    </row>
    <row r="32" ht="20.05" customHeight="1">
      <c r="B32" s="36">
        <v>2022</v>
      </c>
      <c r="C32" s="15"/>
      <c r="D32" s="18"/>
      <c r="E32" s="18"/>
      <c r="F32" s="18"/>
      <c r="G32" s="16"/>
      <c r="H32" s="16"/>
      <c r="I32" s="16"/>
      <c r="J32" s="18"/>
      <c r="K32" s="22"/>
      <c r="L32" s="18">
        <f>SUM('Model '!F9:F10)</f>
        <v>3.40665809654693</v>
      </c>
      <c r="M32" s="22"/>
      <c r="N32" s="18">
        <f>'Model '!F33</f>
        <v>10.7085075979888</v>
      </c>
    </row>
    <row r="33" ht="20.05" customHeight="1">
      <c r="B33" s="35"/>
      <c r="C33" s="15"/>
      <c r="D33" s="18"/>
      <c r="E33" s="18"/>
      <c r="F33" s="18"/>
      <c r="G33" s="16"/>
      <c r="H33" s="16"/>
      <c r="I33" s="16"/>
      <c r="J33" s="18"/>
      <c r="K33" s="22"/>
      <c r="L33" s="22"/>
      <c r="M33" s="22"/>
      <c r="N33" s="22"/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9" customWidth="1"/>
    <col min="2" max="2" width="9.53125" style="39" customWidth="1"/>
    <col min="3" max="11" width="9.98438" style="39" customWidth="1"/>
    <col min="12" max="16384" width="16.3516" style="39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54</v>
      </c>
      <c r="E3" t="s" s="5">
        <v>22</v>
      </c>
      <c r="F3" t="s" s="5">
        <v>23</v>
      </c>
      <c r="G3" t="s" s="5">
        <v>11</v>
      </c>
      <c r="H3" t="s" s="5">
        <v>25</v>
      </c>
      <c r="I3" t="s" s="5">
        <v>55</v>
      </c>
      <c r="J3" t="s" s="5">
        <v>27</v>
      </c>
      <c r="K3" t="s" s="5">
        <v>35</v>
      </c>
    </row>
    <row r="4" ht="20.25" customHeight="1">
      <c r="B4" s="31">
        <v>2015</v>
      </c>
      <c r="C4" s="40">
        <v>5</v>
      </c>
      <c r="D4" s="41">
        <v>106</v>
      </c>
      <c r="E4" s="41">
        <f>D4-C4</f>
        <v>101</v>
      </c>
      <c r="F4" s="41">
        <v>17.2</v>
      </c>
      <c r="G4" s="41">
        <v>74</v>
      </c>
      <c r="H4" s="41">
        <v>32</v>
      </c>
      <c r="I4" s="34">
        <f>G4+H4-C4-E4</f>
        <v>0</v>
      </c>
      <c r="J4" s="34">
        <f>C4-G4</f>
        <v>-69</v>
      </c>
      <c r="K4" s="34"/>
    </row>
    <row r="5" ht="20.05" customHeight="1">
      <c r="B5" s="35"/>
      <c r="C5" s="23">
        <v>6</v>
      </c>
      <c r="D5" s="24">
        <v>119</v>
      </c>
      <c r="E5" s="24">
        <f>D5-C5</f>
        <v>113</v>
      </c>
      <c r="F5" s="24">
        <v>16.5</v>
      </c>
      <c r="G5" s="24">
        <v>86</v>
      </c>
      <c r="H5" s="24">
        <v>33</v>
      </c>
      <c r="I5" s="18">
        <f>G5+H5-C5-E5</f>
        <v>0</v>
      </c>
      <c r="J5" s="18">
        <f>C5-G5</f>
        <v>-80</v>
      </c>
      <c r="K5" s="18"/>
    </row>
    <row r="6" ht="20.05" customHeight="1">
      <c r="B6" s="35"/>
      <c r="C6" s="23">
        <v>8</v>
      </c>
      <c r="D6" s="24">
        <v>103</v>
      </c>
      <c r="E6" s="24">
        <f>D6-C6</f>
        <v>95</v>
      </c>
      <c r="F6" s="24">
        <v>17.8</v>
      </c>
      <c r="G6" s="24">
        <v>76</v>
      </c>
      <c r="H6" s="24">
        <v>27</v>
      </c>
      <c r="I6" s="18">
        <f>G6+H6-C6-E6</f>
        <v>0</v>
      </c>
      <c r="J6" s="18">
        <f>C6-G6</f>
        <v>-68</v>
      </c>
      <c r="K6" s="18"/>
    </row>
    <row r="7" ht="20.05" customHeight="1">
      <c r="B7" s="35"/>
      <c r="C7" s="23">
        <v>9</v>
      </c>
      <c r="D7" s="24">
        <v>114</v>
      </c>
      <c r="E7" s="24">
        <f>D7-C7</f>
        <v>105</v>
      </c>
      <c r="F7" s="24">
        <v>18.2</v>
      </c>
      <c r="G7" s="24">
        <v>77</v>
      </c>
      <c r="H7" s="21">
        <v>37</v>
      </c>
      <c r="I7" s="18">
        <f>G7+H7-C7-E7</f>
        <v>0</v>
      </c>
      <c r="J7" s="18">
        <f>C7-G7</f>
        <v>-68</v>
      </c>
      <c r="K7" s="18"/>
    </row>
    <row r="8" ht="20.05" customHeight="1">
      <c r="B8" s="36">
        <v>2016</v>
      </c>
      <c r="C8" s="23">
        <v>6</v>
      </c>
      <c r="D8" s="24">
        <v>102</v>
      </c>
      <c r="E8" s="24">
        <f>D8-C8</f>
        <v>96</v>
      </c>
      <c r="F8" s="24">
        <v>18.7</v>
      </c>
      <c r="G8" s="24">
        <v>64</v>
      </c>
      <c r="H8" s="24">
        <v>38</v>
      </c>
      <c r="I8" s="18">
        <f>G8+H8-C8-E8</f>
        <v>0</v>
      </c>
      <c r="J8" s="18">
        <f>C8-G8</f>
        <v>-58</v>
      </c>
      <c r="K8" s="18"/>
    </row>
    <row r="9" ht="20.05" customHeight="1">
      <c r="B9" s="35"/>
      <c r="C9" s="23">
        <v>25</v>
      </c>
      <c r="D9" s="24">
        <v>107</v>
      </c>
      <c r="E9" s="24">
        <f>D9-C9</f>
        <v>82</v>
      </c>
      <c r="F9" s="24">
        <v>19.4</v>
      </c>
      <c r="G9" s="24">
        <v>69</v>
      </c>
      <c r="H9" s="24">
        <v>38</v>
      </c>
      <c r="I9" s="18">
        <f>G9+H9-C9-E9</f>
        <v>0</v>
      </c>
      <c r="J9" s="18">
        <f>C9-G9</f>
        <v>-44</v>
      </c>
      <c r="K9" s="18"/>
    </row>
    <row r="10" ht="20.05" customHeight="1">
      <c r="B10" s="35"/>
      <c r="C10" s="23">
        <v>23</v>
      </c>
      <c r="D10" s="24">
        <v>110</v>
      </c>
      <c r="E10" s="24">
        <f>D10-C10</f>
        <v>87</v>
      </c>
      <c r="F10" s="24">
        <v>19.7</v>
      </c>
      <c r="G10" s="24">
        <v>71</v>
      </c>
      <c r="H10" s="24">
        <v>39</v>
      </c>
      <c r="I10" s="18">
        <f>G10+H10-C10-E10</f>
        <v>0</v>
      </c>
      <c r="J10" s="18">
        <f>C10-G10</f>
        <v>-48</v>
      </c>
      <c r="K10" s="18"/>
    </row>
    <row r="11" ht="20.05" customHeight="1">
      <c r="B11" s="35"/>
      <c r="C11" s="23">
        <v>38</v>
      </c>
      <c r="D11" s="24">
        <v>120</v>
      </c>
      <c r="E11" s="24">
        <f>D11-C11</f>
        <v>82</v>
      </c>
      <c r="F11" s="24">
        <v>20.4</v>
      </c>
      <c r="G11" s="24">
        <v>80</v>
      </c>
      <c r="H11" s="24">
        <v>40</v>
      </c>
      <c r="I11" s="18">
        <f>G11+H11-C11-E11</f>
        <v>0</v>
      </c>
      <c r="J11" s="18">
        <f>C11-G11</f>
        <v>-42</v>
      </c>
      <c r="K11" s="18"/>
    </row>
    <row r="12" ht="20.05" customHeight="1">
      <c r="B12" s="36">
        <v>2017</v>
      </c>
      <c r="C12" s="23">
        <v>15</v>
      </c>
      <c r="D12" s="24">
        <v>120</v>
      </c>
      <c r="E12" s="24">
        <f>D12-C12</f>
        <v>105</v>
      </c>
      <c r="F12" s="24">
        <v>20.9</v>
      </c>
      <c r="G12" s="24">
        <v>80</v>
      </c>
      <c r="H12" s="24">
        <v>40</v>
      </c>
      <c r="I12" s="18">
        <f>G12+H12-C12-E12</f>
        <v>0</v>
      </c>
      <c r="J12" s="18">
        <f>C12-G12</f>
        <v>-65</v>
      </c>
      <c r="K12" s="18"/>
    </row>
    <row r="13" ht="20.05" customHeight="1">
      <c r="B13" s="35"/>
      <c r="C13" s="23">
        <v>17</v>
      </c>
      <c r="D13" s="24">
        <v>124</v>
      </c>
      <c r="E13" s="24">
        <f>D13-C13</f>
        <v>107</v>
      </c>
      <c r="F13" s="24">
        <v>21.5</v>
      </c>
      <c r="G13" s="24">
        <v>84</v>
      </c>
      <c r="H13" s="24">
        <v>40</v>
      </c>
      <c r="I13" s="18">
        <f>G13+H13-C13-E13</f>
        <v>0</v>
      </c>
      <c r="J13" s="18">
        <f>C13-G13</f>
        <v>-67</v>
      </c>
      <c r="K13" s="18"/>
    </row>
    <row r="14" ht="20.05" customHeight="1">
      <c r="B14" s="35"/>
      <c r="C14" s="23">
        <v>14</v>
      </c>
      <c r="D14" s="24">
        <v>123</v>
      </c>
      <c r="E14" s="24">
        <f>D14-C14</f>
        <v>109</v>
      </c>
      <c r="F14" s="24">
        <v>22</v>
      </c>
      <c r="G14" s="24">
        <v>82</v>
      </c>
      <c r="H14" s="24">
        <v>41</v>
      </c>
      <c r="I14" s="18">
        <f>G14+H14-C14-E14</f>
        <v>0</v>
      </c>
      <c r="J14" s="18">
        <f>C14-G14</f>
        <v>-68</v>
      </c>
      <c r="K14" s="18"/>
    </row>
    <row r="15" ht="20.05" customHeight="1">
      <c r="B15" s="35"/>
      <c r="C15" s="23">
        <v>14</v>
      </c>
      <c r="D15" s="24">
        <v>126</v>
      </c>
      <c r="E15" s="24">
        <f>D15-C15</f>
        <v>112</v>
      </c>
      <c r="F15" s="24">
        <f>22.6</f>
        <v>22.6</v>
      </c>
      <c r="G15" s="24">
        <v>84</v>
      </c>
      <c r="H15" s="24">
        <v>42</v>
      </c>
      <c r="I15" s="18">
        <f>G15+H15-C15-E15</f>
        <v>0</v>
      </c>
      <c r="J15" s="18">
        <f>C15-G15</f>
        <v>-70</v>
      </c>
      <c r="K15" s="18"/>
    </row>
    <row r="16" ht="20.05" customHeight="1">
      <c r="B16" s="36">
        <v>2018</v>
      </c>
      <c r="C16" s="23">
        <v>7</v>
      </c>
      <c r="D16" s="24">
        <v>118</v>
      </c>
      <c r="E16" s="24">
        <f>D16-C16</f>
        <v>111</v>
      </c>
      <c r="F16" s="24">
        <v>23.2</v>
      </c>
      <c r="G16" s="24">
        <v>76</v>
      </c>
      <c r="H16" s="24">
        <v>42</v>
      </c>
      <c r="I16" s="18">
        <f>G16+H16-C16-E16</f>
        <v>0</v>
      </c>
      <c r="J16" s="18">
        <f>C16-G16</f>
        <v>-69</v>
      </c>
      <c r="K16" s="18"/>
    </row>
    <row r="17" ht="20.05" customHeight="1">
      <c r="B17" s="35"/>
      <c r="C17" s="23">
        <v>9</v>
      </c>
      <c r="D17" s="24">
        <v>126</v>
      </c>
      <c r="E17" s="24">
        <f>D17-C17</f>
        <v>117</v>
      </c>
      <c r="F17" s="24">
        <v>23.7</v>
      </c>
      <c r="G17" s="24">
        <v>86</v>
      </c>
      <c r="H17" s="24">
        <v>40</v>
      </c>
      <c r="I17" s="18">
        <f>G17+H17-C17-E17</f>
        <v>0</v>
      </c>
      <c r="J17" s="18">
        <f>C17-G17</f>
        <v>-77</v>
      </c>
      <c r="K17" s="18"/>
    </row>
    <row r="18" ht="20.05" customHeight="1">
      <c r="B18" s="35"/>
      <c r="C18" s="23">
        <v>7</v>
      </c>
      <c r="D18" s="24">
        <v>127</v>
      </c>
      <c r="E18" s="24">
        <f>D18-C18</f>
        <v>120</v>
      </c>
      <c r="F18" s="24">
        <f>24.2</f>
        <v>24.2</v>
      </c>
      <c r="G18" s="24">
        <v>88</v>
      </c>
      <c r="H18" s="24">
        <v>39</v>
      </c>
      <c r="I18" s="18">
        <f>G18+H18-C18-E18</f>
        <v>0</v>
      </c>
      <c r="J18" s="18">
        <f>C18-G18</f>
        <v>-81</v>
      </c>
      <c r="K18" s="18"/>
    </row>
    <row r="19" ht="20.05" customHeight="1">
      <c r="B19" s="35"/>
      <c r="C19" s="23">
        <v>11</v>
      </c>
      <c r="D19" s="24">
        <v>148</v>
      </c>
      <c r="E19" s="24">
        <f>D19-C19</f>
        <v>137</v>
      </c>
      <c r="F19" s="24">
        <v>24.7</v>
      </c>
      <c r="G19" s="24">
        <v>105</v>
      </c>
      <c r="H19" s="24">
        <v>43</v>
      </c>
      <c r="I19" s="18">
        <f>G19+H19-C19-E19</f>
        <v>0</v>
      </c>
      <c r="J19" s="18">
        <f>C19-G19</f>
        <v>-94</v>
      </c>
      <c r="K19" s="18"/>
    </row>
    <row r="20" ht="20.05" customHeight="1">
      <c r="B20" s="36">
        <v>2019</v>
      </c>
      <c r="C20" s="23">
        <v>6</v>
      </c>
      <c r="D20" s="24">
        <v>138</v>
      </c>
      <c r="E20" s="24">
        <f>D20-C20</f>
        <v>132</v>
      </c>
      <c r="F20" s="24">
        <v>25.3</v>
      </c>
      <c r="G20" s="24">
        <v>93</v>
      </c>
      <c r="H20" s="24">
        <v>45</v>
      </c>
      <c r="I20" s="18">
        <f>G20+H20-C20-E20</f>
        <v>0</v>
      </c>
      <c r="J20" s="18">
        <f>C20-G20</f>
        <v>-87</v>
      </c>
      <c r="K20" s="21"/>
    </row>
    <row r="21" ht="20.05" customHeight="1">
      <c r="B21" s="35"/>
      <c r="C21" s="23">
        <v>5</v>
      </c>
      <c r="D21" s="24">
        <v>119</v>
      </c>
      <c r="E21" s="24">
        <f>D21-C21</f>
        <v>114</v>
      </c>
      <c r="F21" s="24">
        <v>25.9</v>
      </c>
      <c r="G21" s="24">
        <v>74</v>
      </c>
      <c r="H21" s="24">
        <v>45</v>
      </c>
      <c r="I21" s="18">
        <f>G21+H21-C21-E21</f>
        <v>0</v>
      </c>
      <c r="J21" s="18">
        <f>C21-G21</f>
        <v>-69</v>
      </c>
      <c r="K21" s="21"/>
    </row>
    <row r="22" ht="20.05" customHeight="1">
      <c r="B22" s="35"/>
      <c r="C22" s="23">
        <v>11</v>
      </c>
      <c r="D22" s="24">
        <v>133</v>
      </c>
      <c r="E22" s="24">
        <f>D22-C22</f>
        <v>122</v>
      </c>
      <c r="F22" s="24">
        <v>25.6</v>
      </c>
      <c r="G22" s="24">
        <v>88</v>
      </c>
      <c r="H22" s="24">
        <v>45</v>
      </c>
      <c r="I22" s="18">
        <f>G22+H22-C22-E22</f>
        <v>0</v>
      </c>
      <c r="J22" s="18">
        <f>C22-G22</f>
        <v>-77</v>
      </c>
      <c r="K22" s="21"/>
    </row>
    <row r="23" ht="20.05" customHeight="1">
      <c r="B23" s="35"/>
      <c r="C23" s="23">
        <v>28</v>
      </c>
      <c r="D23" s="24">
        <v>152</v>
      </c>
      <c r="E23" s="24">
        <f>D23-C23</f>
        <v>124</v>
      </c>
      <c r="F23" s="24">
        <v>26.2</v>
      </c>
      <c r="G23" s="24">
        <v>106</v>
      </c>
      <c r="H23" s="24">
        <v>46</v>
      </c>
      <c r="I23" s="18">
        <f>G23+H23-C23-E23</f>
        <v>0</v>
      </c>
      <c r="J23" s="18">
        <f>C23-G23</f>
        <v>-78</v>
      </c>
      <c r="K23" s="21"/>
    </row>
    <row r="24" ht="20.05" customHeight="1">
      <c r="B24" s="42">
        <v>2020</v>
      </c>
      <c r="C24" s="23">
        <v>30.758</v>
      </c>
      <c r="D24" s="24">
        <v>142.59</v>
      </c>
      <c r="E24" s="24">
        <f>D24-C24</f>
        <v>111.832</v>
      </c>
      <c r="F24" s="24">
        <v>26.72</v>
      </c>
      <c r="G24" s="24">
        <v>107.1</v>
      </c>
      <c r="H24" s="24">
        <v>35.3</v>
      </c>
      <c r="I24" s="18">
        <f>G24+H24-C24-E24</f>
        <v>-0.19</v>
      </c>
      <c r="J24" s="18">
        <f>C24-G24</f>
        <v>-76.342</v>
      </c>
      <c r="K24" s="21"/>
    </row>
    <row r="25" ht="20.05" customHeight="1">
      <c r="B25" s="42"/>
      <c r="C25" s="23">
        <v>23</v>
      </c>
      <c r="D25" s="24">
        <v>137</v>
      </c>
      <c r="E25" s="24">
        <f>D25-C25</f>
        <v>114</v>
      </c>
      <c r="F25" s="24">
        <f>27.33</f>
        <v>27.33</v>
      </c>
      <c r="G25" s="24">
        <v>91</v>
      </c>
      <c r="H25" s="24">
        <v>46</v>
      </c>
      <c r="I25" s="18">
        <f>G25+H25-C25-E25</f>
        <v>0</v>
      </c>
      <c r="J25" s="18">
        <f>C25-G25</f>
        <v>-68</v>
      </c>
      <c r="K25" s="21"/>
    </row>
    <row r="26" ht="20.05" customHeight="1">
      <c r="B26" s="42"/>
      <c r="C26" s="23">
        <v>15</v>
      </c>
      <c r="D26" s="24">
        <v>124</v>
      </c>
      <c r="E26" s="24">
        <f>D26-C26</f>
        <v>109</v>
      </c>
      <c r="F26" s="24">
        <v>27.93</v>
      </c>
      <c r="G26" s="24">
        <v>80</v>
      </c>
      <c r="H26" s="24">
        <v>44</v>
      </c>
      <c r="I26" s="18">
        <f>G26+H26-C26-E26</f>
        <v>0</v>
      </c>
      <c r="J26" s="18">
        <f>C26-G26</f>
        <v>-65</v>
      </c>
      <c r="K26" s="21"/>
    </row>
    <row r="27" ht="20.05" customHeight="1">
      <c r="B27" s="42"/>
      <c r="C27" s="20">
        <v>15</v>
      </c>
      <c r="D27" s="24">
        <v>132</v>
      </c>
      <c r="E27" s="24">
        <f>D27-C27</f>
        <v>117</v>
      </c>
      <c r="F27" s="21">
        <f>29</f>
        <v>29</v>
      </c>
      <c r="G27" s="24">
        <v>84</v>
      </c>
      <c r="H27" s="24">
        <v>48</v>
      </c>
      <c r="I27" s="18">
        <f>G27+H27-C27-E27</f>
        <v>0</v>
      </c>
      <c r="J27" s="18">
        <f>C27-G27</f>
        <v>-69</v>
      </c>
      <c r="K27" s="21"/>
    </row>
    <row r="28" ht="20.05" customHeight="1">
      <c r="B28" s="42">
        <v>2021</v>
      </c>
      <c r="C28" s="20">
        <v>22</v>
      </c>
      <c r="D28" s="24">
        <v>152</v>
      </c>
      <c r="E28" s="24">
        <f>D28-C28</f>
        <v>130</v>
      </c>
      <c r="F28" s="21">
        <v>29</v>
      </c>
      <c r="G28" s="24">
        <v>102</v>
      </c>
      <c r="H28" s="24">
        <v>50</v>
      </c>
      <c r="I28" s="18">
        <f>G28+H28-C28-E28</f>
        <v>0</v>
      </c>
      <c r="J28" s="18">
        <f>C28-G28</f>
        <v>-80</v>
      </c>
      <c r="K28" s="18"/>
    </row>
    <row r="29" ht="20.05" customHeight="1">
      <c r="B29" s="42"/>
      <c r="C29" s="20">
        <v>26</v>
      </c>
      <c r="D29" s="24">
        <v>145</v>
      </c>
      <c r="E29" s="24">
        <f>D29-C29</f>
        <v>119</v>
      </c>
      <c r="F29" s="43">
        <f>F28+'Sales'!E29</f>
        <v>29.6</v>
      </c>
      <c r="G29" s="24">
        <v>94</v>
      </c>
      <c r="H29" s="24">
        <v>51</v>
      </c>
      <c r="I29" s="18">
        <f>G29+H29-C29-E29</f>
        <v>0</v>
      </c>
      <c r="J29" s="18">
        <f>C29-G29</f>
        <v>-68</v>
      </c>
      <c r="K29" s="21"/>
    </row>
    <row r="30" ht="20.05" customHeight="1">
      <c r="B30" s="42"/>
      <c r="C30" s="20">
        <v>31</v>
      </c>
      <c r="D30" s="24">
        <v>178</v>
      </c>
      <c r="E30" s="24">
        <f>D30-C30</f>
        <v>147</v>
      </c>
      <c r="F30" s="21">
        <f>30+1</f>
        <v>31</v>
      </c>
      <c r="G30" s="24">
        <v>125</v>
      </c>
      <c r="H30" s="24">
        <v>53</v>
      </c>
      <c r="I30" s="18">
        <f>G30+H30-C30-E30</f>
        <v>0</v>
      </c>
      <c r="J30" s="18">
        <f>C30-G30</f>
        <v>-94</v>
      </c>
      <c r="K30" s="21"/>
    </row>
    <row r="31" ht="20.05" customHeight="1">
      <c r="B31" s="42"/>
      <c r="C31" s="20">
        <v>28</v>
      </c>
      <c r="D31" s="24">
        <v>188</v>
      </c>
      <c r="E31" s="24">
        <f>D31-C31</f>
        <v>160</v>
      </c>
      <c r="F31" s="21">
        <f>31+1</f>
        <v>32</v>
      </c>
      <c r="G31" s="24">
        <v>133</v>
      </c>
      <c r="H31" s="24">
        <v>55</v>
      </c>
      <c r="I31" s="18">
        <f>G31+H31-C31-E31</f>
        <v>0</v>
      </c>
      <c r="J31" s="18">
        <f>C31-G31</f>
        <v>-105</v>
      </c>
      <c r="K31" s="21">
        <f>J31</f>
        <v>-105</v>
      </c>
    </row>
    <row r="32" ht="20.05" customHeight="1">
      <c r="B32" s="42">
        <v>2022</v>
      </c>
      <c r="C32" s="20"/>
      <c r="D32" s="24"/>
      <c r="E32" s="24"/>
      <c r="F32" s="21"/>
      <c r="G32" s="24"/>
      <c r="H32" s="24"/>
      <c r="I32" s="18"/>
      <c r="J32" s="18"/>
      <c r="K32" s="43">
        <f>'Model '!F30</f>
        <v>-95.7585589671221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" style="44" customWidth="1"/>
    <col min="2" max="2" width="7.52344" style="44" customWidth="1"/>
    <col min="3" max="5" width="11.0547" style="44" customWidth="1"/>
    <col min="6" max="16384" width="16.3516" style="44" customWidth="1"/>
  </cols>
  <sheetData>
    <row r="1" ht="34" customHeight="1"/>
    <row r="2" ht="28.65" customHeight="1">
      <c r="B2" t="s" s="45">
        <v>56</v>
      </c>
      <c r="C2" s="45"/>
      <c r="D2" s="45"/>
      <c r="E2" s="45"/>
    </row>
    <row r="3" ht="20.25" customHeight="1">
      <c r="B3" s="4"/>
      <c r="C3" t="s" s="46">
        <v>56</v>
      </c>
      <c r="D3" t="s" s="46">
        <v>57</v>
      </c>
      <c r="E3" t="s" s="46">
        <v>58</v>
      </c>
    </row>
    <row r="4" ht="20.25" customHeight="1">
      <c r="B4" s="31">
        <v>2018</v>
      </c>
      <c r="C4" s="47">
        <v>4800</v>
      </c>
      <c r="D4" s="41"/>
      <c r="E4" s="41"/>
    </row>
    <row r="5" ht="20.05" customHeight="1">
      <c r="B5" s="35"/>
      <c r="C5" s="27">
        <v>4800</v>
      </c>
      <c r="D5" s="24"/>
      <c r="E5" s="24"/>
    </row>
    <row r="6" ht="20.05" customHeight="1">
      <c r="B6" s="35"/>
      <c r="C6" s="27">
        <v>4900</v>
      </c>
      <c r="D6" s="24"/>
      <c r="E6" s="24"/>
    </row>
    <row r="7" ht="20.05" customHeight="1">
      <c r="B7" s="35"/>
      <c r="C7" s="27">
        <v>3600</v>
      </c>
      <c r="D7" s="24"/>
      <c r="E7" s="24"/>
    </row>
    <row r="8" ht="20.05" customHeight="1">
      <c r="B8" s="36">
        <v>2019</v>
      </c>
      <c r="C8" s="27">
        <v>2860</v>
      </c>
      <c r="D8" s="24"/>
      <c r="E8" s="24"/>
    </row>
    <row r="9" ht="20.05" customHeight="1">
      <c r="B9" s="35"/>
      <c r="C9" s="27">
        <v>1350</v>
      </c>
      <c r="D9" s="24"/>
      <c r="E9" s="24"/>
    </row>
    <row r="10" ht="20.05" customHeight="1">
      <c r="B10" s="35"/>
      <c r="C10" s="27">
        <v>1040</v>
      </c>
      <c r="D10" s="24"/>
      <c r="E10" s="24"/>
    </row>
    <row r="11" ht="20.05" customHeight="1">
      <c r="B11" s="35"/>
      <c r="C11" s="27">
        <v>675</v>
      </c>
      <c r="D11" s="22"/>
      <c r="E11" s="22"/>
    </row>
    <row r="12" ht="20.05" customHeight="1">
      <c r="B12" s="36">
        <v>2020</v>
      </c>
      <c r="C12" s="48">
        <v>408</v>
      </c>
      <c r="D12" s="22"/>
      <c r="E12" s="22"/>
    </row>
    <row r="13" ht="20.05" customHeight="1">
      <c r="B13" s="35"/>
      <c r="C13" s="48">
        <v>480</v>
      </c>
      <c r="D13" s="22"/>
      <c r="E13" s="22"/>
    </row>
    <row r="14" ht="20.05" customHeight="1">
      <c r="B14" s="35"/>
      <c r="C14" s="48">
        <v>680</v>
      </c>
      <c r="D14" s="22"/>
      <c r="E14" s="28">
        <v>1178.064464141820</v>
      </c>
    </row>
    <row r="15" ht="20.05" customHeight="1">
      <c r="B15" s="35"/>
      <c r="C15" s="23">
        <v>1445</v>
      </c>
      <c r="D15" s="22"/>
      <c r="E15" s="28">
        <v>1686.502840909090</v>
      </c>
    </row>
    <row r="16" ht="20.05" customHeight="1">
      <c r="B16" s="36">
        <v>2021</v>
      </c>
      <c r="C16" s="23">
        <v>1140</v>
      </c>
      <c r="D16" s="22"/>
      <c r="E16" s="28">
        <v>2268.160600802740</v>
      </c>
    </row>
    <row r="17" ht="20.05" customHeight="1">
      <c r="B17" s="35"/>
      <c r="C17" s="23">
        <v>1225</v>
      </c>
      <c r="D17" s="22"/>
      <c r="E17" s="28">
        <v>2080.152036931820</v>
      </c>
    </row>
    <row r="18" ht="20.05" customHeight="1">
      <c r="B18" s="35"/>
      <c r="C18" s="23">
        <v>1095</v>
      </c>
      <c r="D18" s="22"/>
      <c r="E18" s="28">
        <v>1333.746327439030</v>
      </c>
    </row>
    <row r="19" ht="20.05" customHeight="1">
      <c r="B19" s="35"/>
      <c r="C19" s="23">
        <v>975</v>
      </c>
      <c r="D19" s="22"/>
      <c r="E19" s="28">
        <v>1333.746327439030</v>
      </c>
    </row>
    <row r="20" ht="20.05" customHeight="1">
      <c r="B20" s="36">
        <v>2022</v>
      </c>
      <c r="C20" s="23">
        <v>1100</v>
      </c>
      <c r="D20" s="24">
        <f>C20</f>
        <v>1100</v>
      </c>
      <c r="E20" s="22"/>
    </row>
    <row r="21" ht="20.05" customHeight="1">
      <c r="B21" s="35"/>
      <c r="C21" s="23"/>
      <c r="D21" s="28">
        <f>'Model '!F44</f>
        <v>1735.174072281990</v>
      </c>
      <c r="E21" s="2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