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<sst xmlns="http://schemas.openxmlformats.org/spreadsheetml/2006/main" uniqueCount="56">
  <si>
    <t>Financial model</t>
  </si>
  <si>
    <t>$m</t>
  </si>
  <si>
    <t>4Q 2022</t>
  </si>
  <si>
    <t xml:space="preserve">Cashflow </t>
  </si>
  <si>
    <t>Growth</t>
  </si>
  <si>
    <t>Sales</t>
  </si>
  <si>
    <t xml:space="preserve">Cost ratio </t>
  </si>
  <si>
    <t>Cash costs</t>
  </si>
  <si>
    <t xml:space="preserve">Operating </t>
  </si>
  <si>
    <t xml:space="preserve">Investment </t>
  </si>
  <si>
    <t xml:space="preserve">Finance </t>
  </si>
  <si>
    <t xml:space="preserve">Liabilities </t>
  </si>
  <si>
    <t xml:space="preserve">Revolver </t>
  </si>
  <si>
    <t xml:space="preserve">Payout </t>
  </si>
  <si>
    <t>Equity</t>
  </si>
  <si>
    <t xml:space="preserve">Before revolver </t>
  </si>
  <si>
    <t>Beginning</t>
  </si>
  <si>
    <t>Change</t>
  </si>
  <si>
    <t>Ending</t>
  </si>
  <si>
    <t xml:space="preserve">Profit </t>
  </si>
  <si>
    <t xml:space="preserve">Non cash costs 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</si>
  <si>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</si>
  <si>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</si>
  <si>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</si>
  <si>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</si>
  <si>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</si>
  <si>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</si>
  <si>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</si>
  <si>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</si>
  <si>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</si>
  <si>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</si>
  <si>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>Current value</t>
  </si>
  <si>
    <t>P/assets</t>
  </si>
  <si>
    <t>Yield</t>
  </si>
  <si>
    <t xml:space="preserve">Payback </t>
  </si>
  <si>
    <t xml:space="preserve">Forecast </t>
  </si>
  <si>
    <t>Value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</si>
  <si>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</si>
  <si>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</si>
  <si>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</si>
  <si>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</si>
  <si>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</si>
  <si>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</si>
  <si>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 xml:space="preserve">Sales growth </t>
  </si>
  <si>
    <t>Cashflow</t>
  </si>
  <si>
    <t>Net profit</t>
  </si>
  <si>
    <t>Non cash costs</t>
  </si>
  <si>
    <t xml:space="preserve">Working capital </t>
  </si>
  <si>
    <t>Finance</t>
  </si>
  <si>
    <t xml:space="preserve">Free cashflow </t>
  </si>
  <si>
    <t>Cash</t>
  </si>
  <si>
    <t>Assets</t>
  </si>
  <si>
    <t>Share price</t>
  </si>
  <si>
    <t>NEE</t>
  </si>
  <si>
    <t>Target</t>
  </si>
  <si>
    <t xml:space="preserve">Previous 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</si>
</sst>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%"/>
    <numFmt numFmtId="60" formatCode="0.0%"/>
    <numFmt numFmtId="61" formatCode="#,##0.0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61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3" borderId="4" applyNumberFormat="1" applyFont="1" applyFill="0" applyBorder="1" applyAlignment="1" applyProtection="0">
      <alignment horizontal="right" vertical="top" wrapText="1"/>
    </xf>
    <xf numFmtId="59" fontId="3" borderId="4" applyNumberFormat="1" applyFont="1" applyFill="0" applyBorder="1" applyAlignment="1" applyProtection="0">
      <alignment horizontal="right" vertical="top" wrapText="1"/>
    </xf>
    <xf numFmtId="0" fontId="2" fillId="4" borderId="5" applyNumberFormat="0" applyFont="1" applyFill="1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3" borderId="7" applyNumberFormat="1" applyFont="1" applyFill="0" applyBorder="1" applyAlignment="1" applyProtection="0">
      <alignment horizontal="right" vertical="top" wrapText="1"/>
    </xf>
    <xf numFmtId="59" fontId="3" borderId="7" applyNumberFormat="1" applyFont="1" applyFill="0" applyBorder="1" applyAlignment="1" applyProtection="0">
      <alignment horizontal="right" vertical="top" wrapText="1"/>
    </xf>
    <xf numFmtId="0" fontId="2" fillId="4" borderId="5" applyNumberFormat="1" applyFont="1" applyFill="1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3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374703</xdr:colOff>
      <xdr:row>2</xdr:row>
      <xdr:rowOff>35063</xdr:rowOff>
    </xdr:from>
    <xdr:to>
      <xdr:col>13</xdr:col>
      <xdr:colOff>349424</xdr:colOff>
      <xdr:row>48</xdr:row>
      <xdr:rowOff>84697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794303" y="1091703"/>
          <a:ext cx="8686922" cy="117679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70312" style="1" customWidth="1"/>
    <col min="2" max="2" width="16.5859" style="1" customWidth="1"/>
    <col min="3" max="6" width="8.625" style="1" customWidth="1"/>
    <col min="7" max="16384" width="16.3516" style="1" customWidth="1"/>
  </cols>
  <sheetData>
    <row r="1" ht="55.5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AVERAGE('Sales'!E29:E32)</f>
        <v>-0.0264560097696949</v>
      </c>
      <c r="D4" s="8"/>
      <c r="E4" s="8"/>
      <c r="F4" s="9">
        <f>AVERAGE(C5:F5)</f>
        <v>0.075</v>
      </c>
    </row>
    <row r="5" ht="20.05" customHeight="1">
      <c r="B5" t="s" s="10">
        <v>4</v>
      </c>
      <c r="C5" s="11">
        <v>0.15</v>
      </c>
      <c r="D5" s="12">
        <v>0.1</v>
      </c>
      <c r="E5" s="13">
        <v>0.07000000000000001</v>
      </c>
      <c r="F5" s="13">
        <v>-0.02</v>
      </c>
    </row>
    <row r="6" ht="20.05" customHeight="1">
      <c r="B6" t="s" s="10">
        <v>5</v>
      </c>
      <c r="C6" s="14">
        <f>'Sales'!C32*(1+C5)</f>
        <v>3323.5</v>
      </c>
      <c r="D6" s="15">
        <f>C6*(1+D5)</f>
        <v>3655.85</v>
      </c>
      <c r="E6" s="15">
        <f>D6*(1+E5)</f>
        <v>3911.7595</v>
      </c>
      <c r="F6" s="15">
        <f>E6*(1+F5)</f>
        <v>3833.52431</v>
      </c>
    </row>
    <row r="7" ht="20.05" customHeight="1">
      <c r="B7" t="s" s="10">
        <v>6</v>
      </c>
      <c r="C7" s="16">
        <f>AVERAGE('Sales'!G32)</f>
        <v>-0.41119114253244</v>
      </c>
      <c r="D7" s="17">
        <f>C7</f>
        <v>-0.41119114253244</v>
      </c>
      <c r="E7" s="17">
        <f>D7</f>
        <v>-0.41119114253244</v>
      </c>
      <c r="F7" s="17">
        <f>E7</f>
        <v>-0.41119114253244</v>
      </c>
    </row>
    <row r="8" ht="20.05" customHeight="1">
      <c r="B8" t="s" s="10">
        <v>7</v>
      </c>
      <c r="C8" s="14">
        <f>C6*C7</f>
        <v>-1366.593762206560</v>
      </c>
      <c r="D8" s="15">
        <f>D6*D7</f>
        <v>-1503.253138427220</v>
      </c>
      <c r="E8" s="15">
        <f>E6*E7</f>
        <v>-1608.480858117130</v>
      </c>
      <c r="F8" s="15">
        <f>F6*F7</f>
        <v>-1576.311240954780</v>
      </c>
    </row>
    <row r="9" ht="20.05" customHeight="1">
      <c r="B9" t="s" s="10">
        <v>8</v>
      </c>
      <c r="C9" s="14">
        <f>C6+C8</f>
        <v>1956.906237793440</v>
      </c>
      <c r="D9" s="15">
        <f>D6+D8</f>
        <v>2152.596861572780</v>
      </c>
      <c r="E9" s="15">
        <f>E6+E8</f>
        <v>2303.278641882870</v>
      </c>
      <c r="F9" s="15">
        <f>F6+F8</f>
        <v>2257.213069045220</v>
      </c>
    </row>
    <row r="10" ht="20.05" customHeight="1">
      <c r="B10" t="s" s="10">
        <v>9</v>
      </c>
      <c r="C10" s="14">
        <f>AVERAGE('Cashflow '!G30:G31)</f>
        <v>-2715</v>
      </c>
      <c r="D10" s="15">
        <f>C10</f>
        <v>-2715</v>
      </c>
      <c r="E10" s="15">
        <f>D10</f>
        <v>-2715</v>
      </c>
      <c r="F10" s="15">
        <f>E10</f>
        <v>-2715</v>
      </c>
    </row>
    <row r="11" ht="20.05" customHeight="1">
      <c r="B11" t="s" s="10">
        <v>10</v>
      </c>
      <c r="C11" s="14">
        <f>C12+C15+C13</f>
        <v>758.093762206560</v>
      </c>
      <c r="D11" s="15">
        <f>D12+D15+D13</f>
        <v>562.403138427220</v>
      </c>
      <c r="E11" s="15">
        <f>E12+E15+E13</f>
        <v>411.721358117130</v>
      </c>
      <c r="F11" s="15">
        <f>F12+F15+F13</f>
        <v>457.786930954780</v>
      </c>
    </row>
    <row r="12" ht="20.05" customHeight="1">
      <c r="B12" t="s" s="10">
        <v>11</v>
      </c>
      <c r="C12" s="14">
        <f>-('Balance sheet'!G32)/20</f>
        <v>-5034.65</v>
      </c>
      <c r="D12" s="15">
        <f>-C27/20</f>
        <v>-4782.9175</v>
      </c>
      <c r="E12" s="15">
        <f>-D27/20</f>
        <v>-4543.771625</v>
      </c>
      <c r="F12" s="15">
        <f>-E27/20</f>
        <v>-4316.58304375</v>
      </c>
    </row>
    <row r="13" ht="20.05" customHeight="1">
      <c r="B13" t="s" s="10">
        <v>12</v>
      </c>
      <c r="C13" s="14">
        <f>-MIN(0,C16)</f>
        <v>5792.743762206560</v>
      </c>
      <c r="D13" s="15">
        <f>-MIN(C28,D16)</f>
        <v>5345.320638427220</v>
      </c>
      <c r="E13" s="15">
        <f>-MIN(D28,E16)</f>
        <v>4955.492983117130</v>
      </c>
      <c r="F13" s="15">
        <f>-MIN(E28,F16)</f>
        <v>4774.369974704780</v>
      </c>
    </row>
    <row r="14" ht="20.05" customHeight="1">
      <c r="B14" t="s" s="10">
        <v>13</v>
      </c>
      <c r="C14" s="18">
        <v>0</v>
      </c>
      <c r="D14" s="15"/>
      <c r="E14" s="15"/>
      <c r="F14" s="15"/>
    </row>
    <row r="15" ht="20.05" customHeight="1">
      <c r="B15" t="s" s="10">
        <v>14</v>
      </c>
      <c r="C15" s="14">
        <f>IF(C22&gt;0,-C22*$C$14,0)</f>
        <v>0</v>
      </c>
      <c r="D15" s="15">
        <f>IF(D22&gt;0,-D22*$C$14,0)</f>
        <v>0</v>
      </c>
      <c r="E15" s="15">
        <f>IF(E22&gt;0,-E22*$C$14,0)</f>
        <v>0</v>
      </c>
      <c r="F15" s="15">
        <f>IF(F22&gt;0,-F22*$C$14,0)</f>
        <v>0</v>
      </c>
    </row>
    <row r="16" ht="20.05" customHeight="1">
      <c r="B16" t="s" s="10">
        <v>15</v>
      </c>
      <c r="C16" s="14">
        <f>C9+C10+C12+C15</f>
        <v>-5792.743762206560</v>
      </c>
      <c r="D16" s="15">
        <f>D9+D10+D12+D15</f>
        <v>-5345.320638427220</v>
      </c>
      <c r="E16" s="15">
        <f>E9+E10+E12+E15</f>
        <v>-4955.492983117130</v>
      </c>
      <c r="F16" s="15">
        <f>F9+F10+F12+F15</f>
        <v>-4774.369974704780</v>
      </c>
    </row>
    <row r="17" ht="20.05" customHeight="1">
      <c r="B17" t="s" s="10">
        <v>16</v>
      </c>
      <c r="C17" s="14">
        <f>'Balance sheet'!C32</f>
        <v>2061</v>
      </c>
      <c r="D17" s="15">
        <f>C19</f>
        <v>2061</v>
      </c>
      <c r="E17" s="15">
        <f>D19</f>
        <v>2061</v>
      </c>
      <c r="F17" s="15">
        <f>E19</f>
        <v>2061</v>
      </c>
    </row>
    <row r="18" ht="20.05" customHeight="1">
      <c r="B18" t="s" s="10">
        <v>17</v>
      </c>
      <c r="C18" s="14">
        <f>C9+C10+C11</f>
        <v>0</v>
      </c>
      <c r="D18" s="15">
        <f>D9+D10+D11</f>
        <v>0</v>
      </c>
      <c r="E18" s="15">
        <f>E9+E10+E11</f>
        <v>0</v>
      </c>
      <c r="F18" s="15">
        <f>F9+F10+F11</f>
        <v>0</v>
      </c>
    </row>
    <row r="19" ht="20.05" customHeight="1">
      <c r="B19" t="s" s="10">
        <v>18</v>
      </c>
      <c r="C19" s="14">
        <f>C17+C18</f>
        <v>2061</v>
      </c>
      <c r="D19" s="15">
        <f>D17+D18</f>
        <v>2061</v>
      </c>
      <c r="E19" s="15">
        <f>E17+E18</f>
        <v>2061</v>
      </c>
      <c r="F19" s="15">
        <f>F17+F18</f>
        <v>2061</v>
      </c>
    </row>
    <row r="20" ht="20.05" customHeight="1">
      <c r="B20" t="s" s="19">
        <v>19</v>
      </c>
      <c r="C20" s="20"/>
      <c r="D20" s="21"/>
      <c r="E20" s="21"/>
      <c r="F20" s="15"/>
    </row>
    <row r="21" ht="20.05" customHeight="1">
      <c r="B21" t="s" s="10">
        <v>20</v>
      </c>
      <c r="C21" s="14">
        <f>-AVERAGE('Cashflow '!D29:D32)</f>
        <v>-2079.75</v>
      </c>
      <c r="D21" s="15">
        <f>C21</f>
        <v>-2079.75</v>
      </c>
      <c r="E21" s="15">
        <f>D21</f>
        <v>-2079.75</v>
      </c>
      <c r="F21" s="15">
        <f>E21</f>
        <v>-2079.75</v>
      </c>
    </row>
    <row r="22" ht="20.05" customHeight="1">
      <c r="B22" t="s" s="10">
        <v>21</v>
      </c>
      <c r="C22" s="14">
        <f>C6+C8+C21</f>
        <v>-122.843762206560</v>
      </c>
      <c r="D22" s="15">
        <f>D6+D8+D21</f>
        <v>72.846861572780</v>
      </c>
      <c r="E22" s="15">
        <f>E6+E8+E21</f>
        <v>223.528641882870</v>
      </c>
      <c r="F22" s="15">
        <f>F6+F8+F21</f>
        <v>177.463069045220</v>
      </c>
    </row>
    <row r="23" ht="20.05" customHeight="1">
      <c r="B23" t="s" s="19">
        <v>22</v>
      </c>
      <c r="C23" s="22"/>
      <c r="D23" s="21"/>
      <c r="E23" s="15"/>
      <c r="F23" s="15"/>
    </row>
    <row r="24" ht="20.05" customHeight="1">
      <c r="B24" t="s" s="10">
        <v>23</v>
      </c>
      <c r="C24" s="14">
        <f>'Balance sheet'!F32+'Balance sheet'!E32-C10</f>
        <v>174670</v>
      </c>
      <c r="D24" s="15">
        <f>C24-D10</f>
        <v>177385</v>
      </c>
      <c r="E24" s="15">
        <f>D24-E10</f>
        <v>180100</v>
      </c>
      <c r="F24" s="15">
        <f>E24-F10</f>
        <v>182815</v>
      </c>
    </row>
    <row r="25" ht="20.05" customHeight="1">
      <c r="B25" t="s" s="10">
        <v>24</v>
      </c>
      <c r="C25" s="14">
        <f>'Balance sheet'!F32-C21</f>
        <v>31150.75</v>
      </c>
      <c r="D25" s="15">
        <f>C25-D21</f>
        <v>33230.5</v>
      </c>
      <c r="E25" s="15">
        <f>D25-E21</f>
        <v>35310.25</v>
      </c>
      <c r="F25" s="15">
        <f>E25-F21</f>
        <v>37390</v>
      </c>
    </row>
    <row r="26" ht="20.05" customHeight="1">
      <c r="B26" t="s" s="10">
        <v>25</v>
      </c>
      <c r="C26" s="14">
        <f>C24-C25</f>
        <v>143519.25</v>
      </c>
      <c r="D26" s="15">
        <f>D24-D25</f>
        <v>144154.5</v>
      </c>
      <c r="E26" s="15">
        <f>E24-E25</f>
        <v>144789.75</v>
      </c>
      <c r="F26" s="15">
        <f>F24-F25</f>
        <v>145425</v>
      </c>
    </row>
    <row r="27" ht="20.05" customHeight="1">
      <c r="B27" t="s" s="10">
        <v>11</v>
      </c>
      <c r="C27" s="14">
        <f>'Balance sheet'!G32+C12</f>
        <v>95658.350000000006</v>
      </c>
      <c r="D27" s="15">
        <f>C27+D12</f>
        <v>90875.4325</v>
      </c>
      <c r="E27" s="15">
        <f>D27+E12</f>
        <v>86331.660875</v>
      </c>
      <c r="F27" s="15">
        <f>E27+F12</f>
        <v>82015.07783125</v>
      </c>
    </row>
    <row r="28" ht="20.05" customHeight="1">
      <c r="B28" t="s" s="10">
        <v>12</v>
      </c>
      <c r="C28" s="14">
        <f>C13</f>
        <v>5792.743762206560</v>
      </c>
      <c r="D28" s="15">
        <f>C28+D13</f>
        <v>11138.0644006338</v>
      </c>
      <c r="E28" s="15">
        <f>D28+E13</f>
        <v>16093.5573837509</v>
      </c>
      <c r="F28" s="15">
        <f>E28+F13</f>
        <v>20867.9273584557</v>
      </c>
    </row>
    <row r="29" ht="20.05" customHeight="1">
      <c r="B29" t="s" s="10">
        <v>26</v>
      </c>
      <c r="C29" s="14">
        <f>'Balance sheet'!H32+C22+C15</f>
        <v>44129.1562377934</v>
      </c>
      <c r="D29" s="15">
        <f>C29+D22+D15</f>
        <v>44202.0030993662</v>
      </c>
      <c r="E29" s="15">
        <f>D29+E22+E15</f>
        <v>44425.5317412491</v>
      </c>
      <c r="F29" s="15">
        <f>E29+F22+F15</f>
        <v>44602.9948102943</v>
      </c>
    </row>
    <row r="30" ht="20.05" customHeight="1">
      <c r="B30" t="s" s="10">
        <v>27</v>
      </c>
      <c r="C30" s="14">
        <f>C27+C28+C29-C19-C26</f>
        <v>-4e-11</v>
      </c>
      <c r="D30" s="15">
        <f>D27+D28+D29-D19-D26</f>
        <v>0</v>
      </c>
      <c r="E30" s="15">
        <f>E27+E28+E29-E19-E26</f>
        <v>0</v>
      </c>
      <c r="F30" s="15">
        <f>F27+F28+F29-F19-F26</f>
        <v>0</v>
      </c>
    </row>
    <row r="31" ht="20.05" customHeight="1">
      <c r="B31" t="s" s="10">
        <v>28</v>
      </c>
      <c r="C31" s="14">
        <f>C19-C27-C28</f>
        <v>-99390.0937622066</v>
      </c>
      <c r="D31" s="15">
        <f>D19-D27-D28</f>
        <v>-99952.496900633807</v>
      </c>
      <c r="E31" s="15">
        <f>E19-E27-E28</f>
        <v>-100364.218258751</v>
      </c>
      <c r="F31" s="15">
        <f>F19-F27-F28</f>
        <v>-100822.005189706</v>
      </c>
    </row>
    <row r="32" ht="20.05" customHeight="1">
      <c r="B32" t="s" s="19">
        <v>29</v>
      </c>
      <c r="C32" s="14"/>
      <c r="D32" s="15"/>
      <c r="E32" s="15"/>
      <c r="F32" s="15"/>
    </row>
    <row r="33" ht="20.05" customHeight="1">
      <c r="B33" t="s" s="10">
        <v>30</v>
      </c>
      <c r="C33" s="14">
        <f>'Cashflow '!N32-C11</f>
        <v>-36222.0937622066</v>
      </c>
      <c r="D33" s="15">
        <f>C33-D11</f>
        <v>-36784.4969006338</v>
      </c>
      <c r="E33" s="15">
        <f>D33-E11</f>
        <v>-37196.2182587509</v>
      </c>
      <c r="F33" s="15">
        <f>E33-F11</f>
        <v>-37654.0051897057</v>
      </c>
    </row>
    <row r="34" ht="20.05" customHeight="1">
      <c r="B34" t="s" s="10">
        <v>31</v>
      </c>
      <c r="C34" s="14"/>
      <c r="D34" s="15"/>
      <c r="E34" s="15"/>
      <c r="F34" s="15">
        <v>145270336737</v>
      </c>
    </row>
    <row r="35" ht="20.05" customHeight="1">
      <c r="B35" t="s" s="10">
        <v>31</v>
      </c>
      <c r="C35" s="14"/>
      <c r="D35" s="15"/>
      <c r="E35" s="15"/>
      <c r="F35" s="15">
        <f>F34/1000000</f>
        <v>145270.336737</v>
      </c>
    </row>
    <row r="36" ht="20.05" customHeight="1">
      <c r="B36" t="s" s="10">
        <v>32</v>
      </c>
      <c r="C36" s="14"/>
      <c r="D36" s="15"/>
      <c r="E36" s="15"/>
      <c r="F36" s="23">
        <f>F35/(F19+F26)</f>
        <v>0.984977128249461</v>
      </c>
    </row>
    <row r="37" ht="20.05" customHeight="1">
      <c r="B37" t="s" s="10">
        <v>33</v>
      </c>
      <c r="C37" s="14"/>
      <c r="D37" s="15"/>
      <c r="E37" s="15"/>
      <c r="F37" s="17">
        <f>-(C15+D15+E15+F15)/F35</f>
        <v>0</v>
      </c>
    </row>
    <row r="38" ht="20.05" customHeight="1">
      <c r="B38" t="s" s="10">
        <v>3</v>
      </c>
      <c r="C38" s="14"/>
      <c r="D38" s="15"/>
      <c r="E38" s="15"/>
      <c r="F38" s="15">
        <f>SUM(C9:F9)</f>
        <v>8669.994810294311</v>
      </c>
    </row>
    <row r="39" ht="20.05" customHeight="1">
      <c r="B39" t="s" s="10">
        <v>34</v>
      </c>
      <c r="C39" s="14"/>
      <c r="D39" s="15"/>
      <c r="E39" s="15"/>
      <c r="F39" s="15">
        <f>'Balance sheet'!E32/F38</f>
        <v>16.4802866814115</v>
      </c>
    </row>
    <row r="40" ht="20.05" customHeight="1">
      <c r="B40" t="s" s="10">
        <v>29</v>
      </c>
      <c r="C40" s="14"/>
      <c r="D40" s="15"/>
      <c r="E40" s="15"/>
      <c r="F40" s="15">
        <f>F35/F38</f>
        <v>16.7555275309408</v>
      </c>
    </row>
    <row r="41" ht="20.05" customHeight="1">
      <c r="B41" t="s" s="10">
        <v>35</v>
      </c>
      <c r="C41" s="14"/>
      <c r="D41" s="15"/>
      <c r="E41" s="15"/>
      <c r="F41" s="15">
        <v>15</v>
      </c>
    </row>
    <row r="42" ht="20.05" customHeight="1">
      <c r="B42" t="s" s="10">
        <v>36</v>
      </c>
      <c r="C42" s="14"/>
      <c r="D42" s="15"/>
      <c r="E42" s="15"/>
      <c r="F42" s="15">
        <f>F38*F41</f>
        <v>130049.922154415</v>
      </c>
    </row>
    <row r="43" ht="20.05" customHeight="1">
      <c r="B43" t="s" s="10">
        <v>37</v>
      </c>
      <c r="C43" s="14"/>
      <c r="D43" s="15"/>
      <c r="E43" s="15"/>
      <c r="F43" s="15">
        <f>F35/F45</f>
        <v>1964.439982920890</v>
      </c>
    </row>
    <row r="44" ht="20.05" customHeight="1">
      <c r="B44" t="s" s="10">
        <v>38</v>
      </c>
      <c r="C44" s="14"/>
      <c r="D44" s="15"/>
      <c r="E44" s="15"/>
      <c r="F44" s="15">
        <f>F42/F43</f>
        <v>66.2020338035709</v>
      </c>
    </row>
    <row r="45" ht="20.05" customHeight="1">
      <c r="B45" t="s" s="10">
        <v>39</v>
      </c>
      <c r="C45" s="14"/>
      <c r="D45" s="15"/>
      <c r="E45" s="15"/>
      <c r="F45" s="15">
        <v>73.95</v>
      </c>
    </row>
    <row r="46" ht="20.05" customHeight="1">
      <c r="B46" t="s" s="10">
        <v>40</v>
      </c>
      <c r="C46" s="14"/>
      <c r="D46" s="15"/>
      <c r="E46" s="15"/>
      <c r="F46" s="17">
        <f>F44/F45-1</f>
        <v>-0.104773038491266</v>
      </c>
    </row>
    <row r="47" ht="20.05" customHeight="1">
      <c r="B47" t="s" s="10">
        <v>41</v>
      </c>
      <c r="C47" s="14"/>
      <c r="D47" s="15"/>
      <c r="E47" s="15"/>
      <c r="F47" s="17">
        <f>'Sales'!C32/'Sales'!C28-1</f>
        <v>-0.224369296833065</v>
      </c>
    </row>
    <row r="48" ht="20.05" customHeight="1">
      <c r="B48" t="s" s="10">
        <v>42</v>
      </c>
      <c r="C48" s="14"/>
      <c r="D48" s="15"/>
      <c r="E48" s="15"/>
      <c r="F48" s="17">
        <f>'Sales'!F35/'Sales'!E35-1</f>
        <v>0.138873674456913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B3:H3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88281" style="24" customWidth="1"/>
    <col min="2" max="2" width="10.7031" style="24" customWidth="1"/>
    <col min="3" max="3" width="11.5078" style="24" customWidth="1"/>
    <col min="4" max="4" width="14.0938" style="24" customWidth="1"/>
    <col min="5" max="8" width="11.5078" style="24" customWidth="1"/>
    <col min="9" max="16384" width="16.3516" style="24" customWidth="1"/>
  </cols>
  <sheetData>
    <row r="1" ht="29.2" customHeight="1"/>
    <row r="2" ht="27.65" customHeight="1">
      <c r="B2" t="s" s="2">
        <v>5</v>
      </c>
      <c r="C2" s="2"/>
      <c r="D2" s="2"/>
      <c r="E2" s="2"/>
      <c r="F2" s="2"/>
      <c r="G2" s="2"/>
      <c r="H2" s="2"/>
    </row>
    <row r="3" ht="32.25" customHeight="1">
      <c r="B3" t="s" s="5">
        <v>1</v>
      </c>
      <c r="C3" t="s" s="5">
        <v>5</v>
      </c>
      <c r="D3" t="s" s="5">
        <v>35</v>
      </c>
      <c r="E3" t="s" s="5">
        <v>43</v>
      </c>
      <c r="F3" t="s" s="5">
        <v>6</v>
      </c>
      <c r="G3" t="s" s="5">
        <v>6</v>
      </c>
      <c r="H3" t="s" s="5">
        <v>35</v>
      </c>
    </row>
    <row r="4" ht="20.25" customHeight="1">
      <c r="B4" s="25">
        <v>2015</v>
      </c>
      <c r="C4" s="26">
        <v>4104</v>
      </c>
      <c r="D4" s="27"/>
      <c r="E4" s="28"/>
      <c r="F4" s="28">
        <f>('Cashflow '!C4+'Cashflow '!D4-C4)/C4</f>
        <v>-0.64546783625731</v>
      </c>
      <c r="G4" s="28"/>
      <c r="H4" s="28"/>
    </row>
    <row r="5" ht="20.05" customHeight="1">
      <c r="B5" s="29"/>
      <c r="C5" s="30">
        <v>4358</v>
      </c>
      <c r="D5" s="31"/>
      <c r="E5" s="32">
        <f>C5/C4-1</f>
        <v>0.0618908382066277</v>
      </c>
      <c r="F5" s="32">
        <f>('Cashflow '!C5+'Cashflow '!D5-C5)/C5</f>
        <v>-0.606700321248279</v>
      </c>
      <c r="G5" s="32"/>
      <c r="H5" s="32"/>
    </row>
    <row r="6" ht="20.05" customHeight="1">
      <c r="B6" s="29"/>
      <c r="C6" s="30">
        <v>4954</v>
      </c>
      <c r="D6" s="31"/>
      <c r="E6" s="32">
        <f>C6/C5-1</f>
        <v>0.136759981642955</v>
      </c>
      <c r="F6" s="32">
        <f>('Cashflow '!C6+'Cashflow '!D6-C6)/C6</f>
        <v>-0.719822365765038</v>
      </c>
      <c r="G6" s="32"/>
      <c r="H6" s="32"/>
    </row>
    <row r="7" ht="20.05" customHeight="1">
      <c r="B7" s="29"/>
      <c r="C7" s="30">
        <v>4069</v>
      </c>
      <c r="D7" s="31"/>
      <c r="E7" s="32">
        <f>C7/C6-1</f>
        <v>-0.178643520387566</v>
      </c>
      <c r="F7" s="32">
        <f>('Cashflow '!C7+'Cashflow '!D7-C7)/C7</f>
        <v>-0.594249201277955</v>
      </c>
      <c r="G7" s="32"/>
      <c r="H7" s="32"/>
    </row>
    <row r="8" ht="20.05" customHeight="1">
      <c r="B8" s="33">
        <v>2016</v>
      </c>
      <c r="C8" s="30">
        <v>3835</v>
      </c>
      <c r="D8" s="31"/>
      <c r="E8" s="32">
        <f>C8/C7-1</f>
        <v>-0.0575079872204473</v>
      </c>
      <c r="F8" s="32">
        <f>('Cashflow '!C8+'Cashflow '!D8-C8)/C8</f>
        <v>-0.604432855280313</v>
      </c>
      <c r="G8" s="17">
        <f>AVERAGE(F5:F8)</f>
        <v>-0.631301185892896</v>
      </c>
      <c r="H8" s="17"/>
    </row>
    <row r="9" ht="20.05" customHeight="1">
      <c r="B9" s="29"/>
      <c r="C9" s="30">
        <v>3817</v>
      </c>
      <c r="D9" s="31"/>
      <c r="E9" s="32">
        <f>C9/C8-1</f>
        <v>-0.00469361147327249</v>
      </c>
      <c r="F9" s="32">
        <f>('Cashflow '!C9+'Cashflow '!D9-C9)/C9</f>
        <v>-0.520827875294734</v>
      </c>
      <c r="G9" s="17">
        <f>AVERAGE(F6:F9)</f>
        <v>-0.60983307440451</v>
      </c>
      <c r="H9" s="17"/>
    </row>
    <row r="10" ht="20.05" customHeight="1">
      <c r="B10" s="29"/>
      <c r="C10" s="30">
        <v>4805</v>
      </c>
      <c r="D10" s="31"/>
      <c r="E10" s="32">
        <f>C10/C9-1</f>
        <v>0.258842022530783</v>
      </c>
      <c r="F10" s="32">
        <f>('Cashflow '!C10+'Cashflow '!D10-C10)/C10</f>
        <v>-0.618106139438085</v>
      </c>
      <c r="G10" s="17">
        <f>AVERAGE(F7:F10)</f>
        <v>-0.584404017822772</v>
      </c>
      <c r="H10" s="17"/>
    </row>
    <row r="11" ht="20.05" customHeight="1">
      <c r="B11" s="29"/>
      <c r="C11" s="30">
        <v>3699</v>
      </c>
      <c r="D11" s="31"/>
      <c r="E11" s="32">
        <f>C11/C10-1</f>
        <v>-0.230176899063476</v>
      </c>
      <c r="F11" s="32">
        <f>('Cashflow '!C11+'Cashflow '!D11-C11)/C11</f>
        <v>-0.627466882941335</v>
      </c>
      <c r="G11" s="17">
        <f>AVERAGE(F8:F11)</f>
        <v>-0.592708438238617</v>
      </c>
      <c r="H11" s="17"/>
    </row>
    <row r="12" ht="20.05" customHeight="1">
      <c r="B12" s="33">
        <v>2017</v>
      </c>
      <c r="C12" s="30">
        <v>3972</v>
      </c>
      <c r="D12" s="31"/>
      <c r="E12" s="32">
        <f>C12/C11-1</f>
        <v>0.0738037307380373</v>
      </c>
      <c r="F12" s="32">
        <f>('Cashflow '!C12+'Cashflow '!D12-C12)/C12</f>
        <v>-0.673464249748238</v>
      </c>
      <c r="G12" s="17">
        <f>AVERAGE(F9:F12)</f>
        <v>-0.609966286855598</v>
      </c>
      <c r="H12" s="17"/>
    </row>
    <row r="13" ht="20.05" customHeight="1">
      <c r="B13" s="29"/>
      <c r="C13" s="30">
        <v>4404</v>
      </c>
      <c r="D13" s="34"/>
      <c r="E13" s="32">
        <f>C13/C12-1</f>
        <v>0.108761329305136</v>
      </c>
      <c r="F13" s="32">
        <f>('Cashflow '!C13+'Cashflow '!D13-C13)/C13</f>
        <v>-0.542461398728429</v>
      </c>
      <c r="G13" s="17">
        <f>AVERAGE(F10:F13)</f>
        <v>-0.6153746677140221</v>
      </c>
      <c r="H13" s="17"/>
    </row>
    <row r="14" ht="20.05" customHeight="1">
      <c r="B14" s="29"/>
      <c r="C14" s="30">
        <v>4808</v>
      </c>
      <c r="D14" s="34"/>
      <c r="E14" s="32">
        <f>C14/C13-1</f>
        <v>0.09173478655767479</v>
      </c>
      <c r="F14" s="32">
        <f>('Cashflow '!C14+'Cashflow '!D14-C14)/C14</f>
        <v>-0.551164725457571</v>
      </c>
      <c r="G14" s="17">
        <f>AVERAGE(F11:F14)</f>
        <v>-0.598639314218893</v>
      </c>
      <c r="H14" s="17"/>
    </row>
    <row r="15" ht="20.05" customHeight="1">
      <c r="B15" s="29"/>
      <c r="C15" s="30">
        <v>4010</v>
      </c>
      <c r="D15" s="34"/>
      <c r="E15" s="32">
        <f>C15/C14-1</f>
        <v>-0.165973377703827</v>
      </c>
      <c r="F15" s="32">
        <f>('Cashflow '!C15+'Cashflow '!D15-C15)/C15</f>
        <v>-0.621695760598504</v>
      </c>
      <c r="G15" s="17">
        <f>AVERAGE(F12:F15)</f>
        <v>-0.597196533633186</v>
      </c>
      <c r="H15" s="17"/>
    </row>
    <row r="16" ht="20.05" customHeight="1">
      <c r="B16" s="33">
        <v>2018</v>
      </c>
      <c r="C16" s="30">
        <v>3836</v>
      </c>
      <c r="D16" s="34"/>
      <c r="E16" s="32">
        <f>C16/C15-1</f>
        <v>-0.0433915211970075</v>
      </c>
      <c r="F16" s="32">
        <f>('Cashflow '!C16+'Cashflow '!D16-C16)/C16</f>
        <v>-0.560740354535975</v>
      </c>
      <c r="G16" s="17">
        <f>AVERAGE(F13:F16)</f>
        <v>-0.56901555983012</v>
      </c>
      <c r="H16" s="17"/>
    </row>
    <row r="17" ht="20.05" customHeight="1">
      <c r="B17" s="29"/>
      <c r="C17" s="30">
        <v>4069</v>
      </c>
      <c r="D17" s="34"/>
      <c r="E17" s="32">
        <f>C17/C16-1</f>
        <v>0.060740354535975</v>
      </c>
      <c r="F17" s="32">
        <f>('Cashflow '!C17+'Cashflow '!D17-C17)/C17</f>
        <v>-0.552224133693782</v>
      </c>
      <c r="G17" s="17">
        <f>AVERAGE(F14:F17)</f>
        <v>-0.571456243571458</v>
      </c>
      <c r="H17" s="17"/>
    </row>
    <row r="18" ht="20.05" customHeight="1">
      <c r="B18" s="29"/>
      <c r="C18" s="30">
        <v>4418</v>
      </c>
      <c r="D18" s="34"/>
      <c r="E18" s="32">
        <f>C18/C17-1</f>
        <v>0.0857704595723765</v>
      </c>
      <c r="F18" s="32">
        <f>('Cashflow '!C18+'Cashflow '!D18-C18)/C18</f>
        <v>-0.489588048890901</v>
      </c>
      <c r="G18" s="17">
        <f>AVERAGE(F15:F18)</f>
        <v>-0.5560620744297911</v>
      </c>
      <c r="H18" s="17"/>
    </row>
    <row r="19" ht="20.05" customHeight="1">
      <c r="B19" s="29"/>
      <c r="C19" s="30">
        <v>4390</v>
      </c>
      <c r="D19" s="34"/>
      <c r="E19" s="32">
        <f>C19/C18-1</f>
        <v>-0.006337709370756</v>
      </c>
      <c r="F19" s="32">
        <f>('Cashflow '!C19+'Cashflow '!D19-C19)/C19</f>
        <v>-0.674487471526196</v>
      </c>
      <c r="G19" s="17">
        <f>AVERAGE(F16:F19)</f>
        <v>-0.569260002161714</v>
      </c>
      <c r="H19" s="17"/>
    </row>
    <row r="20" ht="20.05" customHeight="1">
      <c r="B20" s="33">
        <v>2019</v>
      </c>
      <c r="C20" s="30">
        <v>4075</v>
      </c>
      <c r="D20" s="34"/>
      <c r="E20" s="32">
        <f>C20/C19-1</f>
        <v>-0.071753986332574</v>
      </c>
      <c r="F20" s="32">
        <f>('Cashflow '!C20+'Cashflow '!D20-C20)/C20</f>
        <v>-0.525153374233129</v>
      </c>
      <c r="G20" s="17">
        <f>AVERAGE(F17:F20)</f>
        <v>-0.560363257086002</v>
      </c>
      <c r="H20" s="17"/>
    </row>
    <row r="21" ht="20.05" customHeight="1">
      <c r="B21" s="29"/>
      <c r="C21" s="30">
        <v>4970</v>
      </c>
      <c r="D21" s="31"/>
      <c r="E21" s="32">
        <f>C21/C20-1</f>
        <v>0.219631901840491</v>
      </c>
      <c r="F21" s="32">
        <f>('Cashflow '!C21+'Cashflow '!D21-C21)/C21</f>
        <v>-0.853118712273642</v>
      </c>
      <c r="G21" s="17">
        <f>AVERAGE(F18:F21)</f>
        <v>-0.635586901730967</v>
      </c>
      <c r="H21" s="17"/>
    </row>
    <row r="22" ht="20.05" customHeight="1">
      <c r="B22" s="29"/>
      <c r="C22" s="30">
        <v>5572</v>
      </c>
      <c r="D22" s="34"/>
      <c r="E22" s="32">
        <f>C22/C21-1</f>
        <v>0.12112676056338</v>
      </c>
      <c r="F22" s="32">
        <f>('Cashflow '!C22+'Cashflow '!D22-C22)/C22</f>
        <v>-0.352656137832017</v>
      </c>
      <c r="G22" s="17">
        <f>AVERAGE(F19:F22)</f>
        <v>-0.601353923966246</v>
      </c>
      <c r="H22" s="17"/>
    </row>
    <row r="23" ht="20.05" customHeight="1">
      <c r="B23" s="29"/>
      <c r="C23" s="30">
        <v>4588</v>
      </c>
      <c r="D23" s="34"/>
      <c r="E23" s="32">
        <f>C23/C22-1</f>
        <v>-0.176597272074659</v>
      </c>
      <c r="F23" s="32">
        <f>('Cashflow '!C23+'Cashflow '!D23-C23)/C23</f>
        <v>-0.671752397558849</v>
      </c>
      <c r="G23" s="17">
        <f>AVERAGE(F20:F23)</f>
        <v>-0.6006701554744091</v>
      </c>
      <c r="H23" s="17"/>
    </row>
    <row r="24" ht="20.05" customHeight="1">
      <c r="B24" s="33">
        <v>2020</v>
      </c>
      <c r="C24" s="30">
        <v>4613</v>
      </c>
      <c r="D24" s="31"/>
      <c r="E24" s="32">
        <f>C24/C23-1</f>
        <v>0.00544899738448126</v>
      </c>
      <c r="F24" s="32">
        <f>('Cashflow '!C24+'Cashflow '!D24-C24)/C24</f>
        <v>-0.551701712551485</v>
      </c>
      <c r="G24" s="17">
        <f>AVERAGE(F21:F24)</f>
        <v>-0.6073072400539981</v>
      </c>
      <c r="H24" s="17"/>
    </row>
    <row r="25" ht="20.05" customHeight="1">
      <c r="B25" s="29"/>
      <c r="C25" s="30">
        <v>4204</v>
      </c>
      <c r="D25" s="34"/>
      <c r="E25" s="32">
        <f>C25/C24-1</f>
        <v>-0.0886624756123997</v>
      </c>
      <c r="F25" s="32">
        <f>('Cashflow '!C25+'Cashflow '!D25-C25)/C25</f>
        <v>-0.607992388201713</v>
      </c>
      <c r="G25" s="17">
        <f>AVERAGE(F22:F25)</f>
        <v>-0.546025659036016</v>
      </c>
      <c r="H25" s="17"/>
    </row>
    <row r="26" ht="20.05" customHeight="1">
      <c r="B26" s="29"/>
      <c r="C26" s="30">
        <v>4785</v>
      </c>
      <c r="D26" s="34">
        <v>5572</v>
      </c>
      <c r="E26" s="32">
        <f>C26/C25-1</f>
        <v>0.138201712654615</v>
      </c>
      <c r="F26" s="32">
        <f>('Cashflow '!C26+'Cashflow '!D26-C26)/C26</f>
        <v>-0.428213166144201</v>
      </c>
      <c r="G26" s="17">
        <f>AVERAGE(F23:F26)</f>
        <v>-0.564914916114062</v>
      </c>
      <c r="H26" s="17"/>
    </row>
    <row r="27" ht="20.05" customHeight="1">
      <c r="B27" s="29"/>
      <c r="C27" s="30">
        <v>4395</v>
      </c>
      <c r="D27" s="34">
        <v>5024.25</v>
      </c>
      <c r="E27" s="32">
        <f>C27/C26-1</f>
        <v>-0.0815047021943574</v>
      </c>
      <c r="F27" s="32">
        <f>('Cashflow '!C27+'Cashflow '!D27-C27)/C27</f>
        <v>-0.5142207053469851</v>
      </c>
      <c r="G27" s="17">
        <f>AVERAGE(F24:F27)</f>
        <v>-0.525531993061096</v>
      </c>
      <c r="H27" s="17"/>
    </row>
    <row r="28" ht="20.05" customHeight="1">
      <c r="B28" s="33">
        <v>2021</v>
      </c>
      <c r="C28" s="14">
        <v>3726</v>
      </c>
      <c r="D28" s="34">
        <v>4702.65</v>
      </c>
      <c r="E28" s="32">
        <f>C28/C27-1</f>
        <v>-0.15221843003413</v>
      </c>
      <c r="F28" s="32">
        <f>('Cashflow '!C28+'Cashflow '!D28-C28)/C28</f>
        <v>-0.581320450885668</v>
      </c>
      <c r="G28" s="17">
        <f>AVERAGE(F25:F28)</f>
        <v>-0.532936677644642</v>
      </c>
      <c r="H28" s="17"/>
    </row>
    <row r="29" ht="20.05" customHeight="1">
      <c r="B29" s="29"/>
      <c r="C29" s="30">
        <v>3927</v>
      </c>
      <c r="D29" s="15">
        <v>4284.9</v>
      </c>
      <c r="E29" s="32">
        <f>C29/C28-1</f>
        <v>0.0539452495974235</v>
      </c>
      <c r="F29" s="32">
        <f>('Cashflow '!C29+'Cashflow '!D29-C29)/C29</f>
        <v>-0.38961038961039</v>
      </c>
      <c r="G29" s="17">
        <f>AVERAGE(F26:F29)</f>
        <v>-0.478341177996811</v>
      </c>
      <c r="H29" s="17"/>
    </row>
    <row r="30" ht="20.05" customHeight="1">
      <c r="B30" s="29"/>
      <c r="C30" s="30">
        <v>4370</v>
      </c>
      <c r="D30" s="15">
        <v>4280</v>
      </c>
      <c r="E30" s="32">
        <f>C30/C29-1</f>
        <v>0.112808759867583</v>
      </c>
      <c r="F30" s="32">
        <f>('Cashflow '!C30+'Cashflow '!D30-C30)/C30</f>
        <v>-0.368421052631579</v>
      </c>
      <c r="G30" s="17">
        <f>AVERAGE(F27:F30)</f>
        <v>-0.463393149618656</v>
      </c>
      <c r="H30" s="17"/>
    </row>
    <row r="31" ht="20.05" customHeight="1">
      <c r="B31" s="29"/>
      <c r="C31" s="30">
        <v>5046</v>
      </c>
      <c r="D31" s="15">
        <v>4326.3</v>
      </c>
      <c r="E31" s="32">
        <f>C31/C30-1</f>
        <v>0.154691075514874</v>
      </c>
      <c r="F31" s="32">
        <f>('Cashflow '!C31+'Cashflow '!D31-C31)/C31</f>
        <v>-0.730677764565993</v>
      </c>
      <c r="G31" s="17">
        <f>AVERAGE(F28:F31)</f>
        <v>-0.517507414423408</v>
      </c>
      <c r="H31" s="17"/>
    </row>
    <row r="32" ht="20.05" customHeight="1">
      <c r="B32" s="33">
        <v>2022</v>
      </c>
      <c r="C32" s="30">
        <v>2890</v>
      </c>
      <c r="D32" s="15">
        <v>4995.54</v>
      </c>
      <c r="E32" s="32">
        <f>C32/C31-1</f>
        <v>-0.42726912405866</v>
      </c>
      <c r="F32" s="32">
        <f>('Cashflow '!C32+'Cashflow '!D32-C32)/C32</f>
        <v>-0.156055363321799</v>
      </c>
      <c r="G32" s="17">
        <f>AVERAGE(F29:F32)</f>
        <v>-0.41119114253244</v>
      </c>
      <c r="H32" s="17">
        <f>G32</f>
        <v>-0.41119114253244</v>
      </c>
    </row>
    <row r="33" ht="20.05" customHeight="1">
      <c r="B33" s="29"/>
      <c r="C33" s="30"/>
      <c r="D33" s="15">
        <f>'Model'!C6</f>
        <v>3323.5</v>
      </c>
      <c r="E33" s="17"/>
      <c r="F33" s="17"/>
      <c r="G33" s="17"/>
      <c r="H33" s="17">
        <f>'Model'!C7</f>
        <v>-0.41119114253244</v>
      </c>
    </row>
    <row r="34" ht="20.05" customHeight="1">
      <c r="B34" s="29"/>
      <c r="C34" s="30"/>
      <c r="D34" s="34">
        <f>'Model'!D6</f>
        <v>3655.85</v>
      </c>
      <c r="E34" s="17"/>
      <c r="F34" s="17"/>
      <c r="G34" s="17"/>
      <c r="H34" s="17"/>
    </row>
    <row r="35" ht="20.05" customHeight="1">
      <c r="B35" s="29"/>
      <c r="C35" s="30"/>
      <c r="D35" s="34">
        <f>'Model'!E6</f>
        <v>3911.7595</v>
      </c>
      <c r="E35" s="15">
        <f>SUM(C26:C32)</f>
        <v>29139</v>
      </c>
      <c r="F35" s="15">
        <f>SUM(D26:D32)</f>
        <v>33185.64</v>
      </c>
      <c r="G35" s="17"/>
      <c r="H35" s="17"/>
    </row>
    <row r="36" ht="20.05" customHeight="1">
      <c r="B36" s="33">
        <v>2023</v>
      </c>
      <c r="C36" s="30"/>
      <c r="D36" s="34">
        <f>'Model'!F6</f>
        <v>3833.52431</v>
      </c>
      <c r="E36" s="17"/>
      <c r="F36" s="17"/>
      <c r="G36" s="17"/>
      <c r="H36" s="17"/>
    </row>
  </sheetData>
  <mergeCells count="1">
    <mergeCell ref="B2:H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P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08594" style="35" customWidth="1"/>
    <col min="2" max="2" width="9.57812" style="35" customWidth="1"/>
    <col min="3" max="16" width="10.3047" style="35" customWidth="1"/>
    <col min="17" max="16384" width="16.3516" style="35" customWidth="1"/>
  </cols>
  <sheetData>
    <row r="1" ht="14.8" customHeight="1"/>
    <row r="2" ht="27.65" customHeight="1">
      <c r="B2" t="s" s="2">
        <v>44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2.25" customHeight="1">
      <c r="B3" t="s" s="5">
        <v>1</v>
      </c>
      <c r="C3" t="s" s="5">
        <v>45</v>
      </c>
      <c r="D3" t="s" s="5">
        <v>46</v>
      </c>
      <c r="E3" t="s" s="5">
        <v>47</v>
      </c>
      <c r="F3" t="s" s="5">
        <v>8</v>
      </c>
      <c r="G3" t="s" s="5">
        <v>9</v>
      </c>
      <c r="H3" t="s" s="5">
        <v>11</v>
      </c>
      <c r="I3" t="s" s="5">
        <v>14</v>
      </c>
      <c r="J3" t="s" s="5">
        <v>48</v>
      </c>
      <c r="K3" t="s" s="5">
        <v>49</v>
      </c>
      <c r="L3" t="s" s="5">
        <v>3</v>
      </c>
      <c r="M3" t="s" s="5">
        <v>35</v>
      </c>
      <c r="N3" t="s" s="5">
        <v>30</v>
      </c>
      <c r="O3" t="s" s="5">
        <v>35</v>
      </c>
      <c r="P3" s="36"/>
    </row>
    <row r="4" ht="20.25" customHeight="1">
      <c r="B4" s="25">
        <v>2015</v>
      </c>
      <c r="C4" s="37">
        <v>650</v>
      </c>
      <c r="D4" s="38">
        <v>805</v>
      </c>
      <c r="E4" s="38">
        <f>F4-D4-C4</f>
        <v>-274</v>
      </c>
      <c r="F4" s="38">
        <v>1181</v>
      </c>
      <c r="G4" s="38">
        <v>-1564</v>
      </c>
      <c r="H4" s="38"/>
      <c r="I4" s="38"/>
      <c r="J4" s="38">
        <v>275</v>
      </c>
      <c r="K4" s="38">
        <f>F4+G4</f>
        <v>-383</v>
      </c>
      <c r="L4" s="38"/>
      <c r="M4" s="38"/>
      <c r="N4" s="38">
        <f>-J4</f>
        <v>-275</v>
      </c>
      <c r="O4" s="38"/>
      <c r="P4" s="38">
        <v>1</v>
      </c>
    </row>
    <row r="5" ht="20.05" customHeight="1">
      <c r="B5" s="29"/>
      <c r="C5" s="14">
        <v>721</v>
      </c>
      <c r="D5" s="15">
        <v>993</v>
      </c>
      <c r="E5" s="15">
        <f>F5-D5-C5</f>
        <v>39</v>
      </c>
      <c r="F5" s="15">
        <v>1753</v>
      </c>
      <c r="G5" s="15">
        <v>-2190</v>
      </c>
      <c r="H5" s="15"/>
      <c r="I5" s="15"/>
      <c r="J5" s="15">
        <v>519</v>
      </c>
      <c r="K5" s="15">
        <f>F5+G5</f>
        <v>-437</v>
      </c>
      <c r="L5" s="15"/>
      <c r="M5" s="15"/>
      <c r="N5" s="15">
        <f>-J5+N4</f>
        <v>-794</v>
      </c>
      <c r="O5" s="15"/>
      <c r="P5" s="15">
        <f>1+P4</f>
        <v>2</v>
      </c>
    </row>
    <row r="6" ht="20.05" customHeight="1">
      <c r="B6" s="29"/>
      <c r="C6" s="14">
        <v>881</v>
      </c>
      <c r="D6" s="15">
        <v>507</v>
      </c>
      <c r="E6" s="15">
        <f>F6-D6-C6</f>
        <v>191</v>
      </c>
      <c r="F6" s="15">
        <v>1579</v>
      </c>
      <c r="G6" s="15">
        <v>-1723</v>
      </c>
      <c r="H6" s="15"/>
      <c r="I6" s="15"/>
      <c r="J6" s="15">
        <v>774</v>
      </c>
      <c r="K6" s="15">
        <f>F6+G6</f>
        <v>-144</v>
      </c>
      <c r="L6" s="15"/>
      <c r="M6" s="15"/>
      <c r="N6" s="15">
        <f>-J6+N5</f>
        <v>-1568</v>
      </c>
      <c r="O6" s="15"/>
      <c r="P6" s="15">
        <f>1+P5</f>
        <v>3</v>
      </c>
    </row>
    <row r="7" ht="20.05" customHeight="1">
      <c r="B7" s="29"/>
      <c r="C7" s="14">
        <v>510</v>
      </c>
      <c r="D7" s="15">
        <v>1141</v>
      </c>
      <c r="E7" s="15">
        <f>F7-D7-C7</f>
        <v>-48</v>
      </c>
      <c r="F7" s="15">
        <v>1603</v>
      </c>
      <c r="G7" s="15">
        <v>-2528</v>
      </c>
      <c r="H7" s="15"/>
      <c r="I7" s="15"/>
      <c r="J7" s="15">
        <v>315</v>
      </c>
      <c r="K7" s="15">
        <f>F7+G7</f>
        <v>-925</v>
      </c>
      <c r="L7" s="15"/>
      <c r="M7" s="15"/>
      <c r="N7" s="15">
        <f>-J7+N6</f>
        <v>-1883</v>
      </c>
      <c r="O7" s="15"/>
      <c r="P7" s="15">
        <f>1+P6</f>
        <v>4</v>
      </c>
    </row>
    <row r="8" ht="20.05" customHeight="1">
      <c r="B8" s="33">
        <v>2016</v>
      </c>
      <c r="C8" s="14">
        <v>637</v>
      </c>
      <c r="D8" s="15">
        <v>880</v>
      </c>
      <c r="E8" s="15">
        <f>F8-D8-C8</f>
        <v>28</v>
      </c>
      <c r="F8" s="15">
        <v>1545</v>
      </c>
      <c r="G8" s="15">
        <v>-3681</v>
      </c>
      <c r="H8" s="15"/>
      <c r="I8" s="15"/>
      <c r="J8" s="15">
        <v>2193</v>
      </c>
      <c r="K8" s="15">
        <f>F8+G8</f>
        <v>-2136</v>
      </c>
      <c r="L8" s="15">
        <f>AVERAGE(K5:K8)</f>
        <v>-910.5</v>
      </c>
      <c r="M8" s="15"/>
      <c r="N8" s="15">
        <f>-J8+N7</f>
        <v>-4076</v>
      </c>
      <c r="O8" s="15"/>
      <c r="P8" s="15">
        <f>1+P7</f>
        <v>5</v>
      </c>
    </row>
    <row r="9" ht="20.05" customHeight="1">
      <c r="B9" s="29"/>
      <c r="C9" s="14">
        <v>561</v>
      </c>
      <c r="D9" s="15">
        <v>1268</v>
      </c>
      <c r="E9" s="15">
        <f>F9-D9-C9</f>
        <v>-104</v>
      </c>
      <c r="F9" s="15">
        <v>1725</v>
      </c>
      <c r="G9" s="15">
        <v>-1756</v>
      </c>
      <c r="H9" s="15"/>
      <c r="I9" s="15"/>
      <c r="J9" s="15">
        <v>133</v>
      </c>
      <c r="K9" s="15">
        <f>F9+G9</f>
        <v>-31</v>
      </c>
      <c r="L9" s="15">
        <f>AVERAGE(K6:K9)</f>
        <v>-809</v>
      </c>
      <c r="M9" s="15"/>
      <c r="N9" s="15">
        <f>-J9+N8</f>
        <v>-4209</v>
      </c>
      <c r="O9" s="15"/>
      <c r="P9" s="15">
        <f>1+P8</f>
        <v>6</v>
      </c>
    </row>
    <row r="10" ht="20.05" customHeight="1">
      <c r="B10" s="29"/>
      <c r="C10" s="14">
        <v>790</v>
      </c>
      <c r="D10" s="15">
        <v>1045</v>
      </c>
      <c r="E10" s="15">
        <f>F10-D10-C10</f>
        <v>189</v>
      </c>
      <c r="F10" s="15">
        <v>2024</v>
      </c>
      <c r="G10" s="15">
        <v>-1546</v>
      </c>
      <c r="H10" s="15"/>
      <c r="I10" s="15"/>
      <c r="J10" s="15">
        <v>-527</v>
      </c>
      <c r="K10" s="15">
        <f>F10+G10</f>
        <v>478</v>
      </c>
      <c r="L10" s="15">
        <f>AVERAGE(K7:K10)</f>
        <v>-653.5</v>
      </c>
      <c r="M10" s="15"/>
      <c r="N10" s="15">
        <f>-J10+N9</f>
        <v>-3682</v>
      </c>
      <c r="O10" s="15"/>
      <c r="P10" s="15">
        <f>1+P9</f>
        <v>7</v>
      </c>
    </row>
    <row r="11" ht="20.05" customHeight="1">
      <c r="B11" s="29"/>
      <c r="C11" s="14">
        <v>1017</v>
      </c>
      <c r="D11" s="15">
        <v>361</v>
      </c>
      <c r="E11" s="15">
        <f>F11-D11-C11</f>
        <v>-336</v>
      </c>
      <c r="F11" s="15">
        <v>1042</v>
      </c>
      <c r="G11" s="15">
        <v>-1127</v>
      </c>
      <c r="H11" s="15"/>
      <c r="I11" s="15"/>
      <c r="J11" s="15">
        <v>696</v>
      </c>
      <c r="K11" s="15">
        <f>F11+G11</f>
        <v>-85</v>
      </c>
      <c r="L11" s="15">
        <f>AVERAGE(K8:K11)</f>
        <v>-443.5</v>
      </c>
      <c r="M11" s="15"/>
      <c r="N11" s="15">
        <f>-J11+N10</f>
        <v>-4378</v>
      </c>
      <c r="O11" s="15"/>
      <c r="P11" s="15">
        <f>1+P10</f>
        <v>8</v>
      </c>
    </row>
    <row r="12" ht="20.05" customHeight="1">
      <c r="B12" s="33">
        <v>2017</v>
      </c>
      <c r="C12" s="14">
        <v>1591</v>
      </c>
      <c r="D12" s="15">
        <v>-294</v>
      </c>
      <c r="E12" s="15">
        <f>F12-D12-C12</f>
        <v>67</v>
      </c>
      <c r="F12" s="15">
        <v>1364</v>
      </c>
      <c r="G12" s="15">
        <v>-3734</v>
      </c>
      <c r="H12" s="15"/>
      <c r="I12" s="15"/>
      <c r="J12" s="15">
        <v>1678</v>
      </c>
      <c r="K12" s="15">
        <f>F12+G12</f>
        <v>-2370</v>
      </c>
      <c r="L12" s="15">
        <f>AVERAGE(K9:K12)</f>
        <v>-502</v>
      </c>
      <c r="M12" s="15"/>
      <c r="N12" s="15">
        <f>-J12+N11</f>
        <v>-6056</v>
      </c>
      <c r="O12" s="15"/>
      <c r="P12" s="15">
        <f>1+P11</f>
        <v>9</v>
      </c>
    </row>
    <row r="13" ht="20.05" customHeight="1">
      <c r="B13" s="29"/>
      <c r="C13" s="14">
        <v>804</v>
      </c>
      <c r="D13" s="15">
        <v>1211</v>
      </c>
      <c r="E13" s="15">
        <f>F13-D13-C13</f>
        <v>-214</v>
      </c>
      <c r="F13" s="15">
        <v>1801</v>
      </c>
      <c r="G13" s="15">
        <v>-1775</v>
      </c>
      <c r="H13" s="15"/>
      <c r="I13" s="15"/>
      <c r="J13" s="15">
        <v>16</v>
      </c>
      <c r="K13" s="15">
        <f>F13+G13</f>
        <v>26</v>
      </c>
      <c r="L13" s="15">
        <f>AVERAGE(K10:K13)</f>
        <v>-487.75</v>
      </c>
      <c r="M13" s="15"/>
      <c r="N13" s="15">
        <f>-J13+N12</f>
        <v>-6072</v>
      </c>
      <c r="O13" s="15"/>
      <c r="P13" s="15">
        <f>1+P12</f>
        <v>10</v>
      </c>
    </row>
    <row r="14" ht="20.05" customHeight="1">
      <c r="B14" s="29"/>
      <c r="C14" s="14">
        <v>857</v>
      </c>
      <c r="D14" s="15">
        <v>1301</v>
      </c>
      <c r="E14" s="15">
        <f>F14-D14-C14</f>
        <v>-163</v>
      </c>
      <c r="F14" s="15">
        <v>1995</v>
      </c>
      <c r="G14" s="15">
        <v>-1326</v>
      </c>
      <c r="H14" s="15"/>
      <c r="I14" s="15"/>
      <c r="J14" s="15">
        <v>70</v>
      </c>
      <c r="K14" s="15">
        <f>F14+G14</f>
        <v>669</v>
      </c>
      <c r="L14" s="15">
        <f>AVERAGE(K11:K14)</f>
        <v>-440</v>
      </c>
      <c r="M14" s="15"/>
      <c r="N14" s="15">
        <f>-J14+N13</f>
        <v>-6142</v>
      </c>
      <c r="O14" s="15"/>
      <c r="P14" s="15">
        <f>1+P13</f>
        <v>11</v>
      </c>
    </row>
    <row r="15" ht="20.05" customHeight="1">
      <c r="B15" s="29"/>
      <c r="C15" s="14">
        <v>2068</v>
      </c>
      <c r="D15" s="15">
        <v>-551</v>
      </c>
      <c r="E15" s="15">
        <f>F15-D15-C15</f>
        <v>-264</v>
      </c>
      <c r="F15" s="15">
        <v>1253</v>
      </c>
      <c r="G15" s="15">
        <v>-2083</v>
      </c>
      <c r="H15" s="15"/>
      <c r="I15" s="15"/>
      <c r="J15" s="15">
        <v>1169</v>
      </c>
      <c r="K15" s="15">
        <f>F15+G15</f>
        <v>-830</v>
      </c>
      <c r="L15" s="15">
        <f>AVERAGE(K12:K15)</f>
        <v>-626.25</v>
      </c>
      <c r="M15" s="15"/>
      <c r="N15" s="15">
        <f>-J15+N14</f>
        <v>-7311</v>
      </c>
      <c r="O15" s="15"/>
      <c r="P15" s="15">
        <f>1+P14</f>
        <v>12</v>
      </c>
    </row>
    <row r="16" ht="20.05" customHeight="1">
      <c r="B16" s="33">
        <v>2018</v>
      </c>
      <c r="C16" s="14">
        <v>3831</v>
      </c>
      <c r="D16" s="15">
        <v>-2146</v>
      </c>
      <c r="E16" s="15">
        <f>F16-D16-C16</f>
        <v>-395</v>
      </c>
      <c r="F16" s="15">
        <v>1290</v>
      </c>
      <c r="G16" s="15">
        <v>-3667</v>
      </c>
      <c r="H16" s="15"/>
      <c r="I16" s="15"/>
      <c r="J16" s="15">
        <v>1311</v>
      </c>
      <c r="K16" s="15">
        <f>F16+G16</f>
        <v>-2377</v>
      </c>
      <c r="L16" s="15">
        <f>AVERAGE(K13:K16)</f>
        <v>-628</v>
      </c>
      <c r="M16" s="15"/>
      <c r="N16" s="15">
        <f>-J16+N15</f>
        <v>-8622</v>
      </c>
      <c r="O16" s="15"/>
      <c r="P16" s="15">
        <f>1+P15</f>
        <v>13</v>
      </c>
    </row>
    <row r="17" ht="20.05" customHeight="1">
      <c r="B17" s="29"/>
      <c r="C17" s="14">
        <v>701</v>
      </c>
      <c r="D17" s="15">
        <v>1121</v>
      </c>
      <c r="E17" s="15">
        <f>F17-D17-C17</f>
        <v>-179</v>
      </c>
      <c r="F17" s="15">
        <v>1643</v>
      </c>
      <c r="G17" s="15">
        <v>-1688</v>
      </c>
      <c r="H17" s="15"/>
      <c r="I17" s="15"/>
      <c r="J17" s="15">
        <v>-121</v>
      </c>
      <c r="K17" s="15">
        <f>F17+G17</f>
        <v>-45</v>
      </c>
      <c r="L17" s="15">
        <f>AVERAGE(K14:K17)</f>
        <v>-645.75</v>
      </c>
      <c r="M17" s="15"/>
      <c r="N17" s="15">
        <f>-J17+N16</f>
        <v>-8501</v>
      </c>
      <c r="O17" s="15"/>
      <c r="P17" s="15">
        <f>1+P16</f>
        <v>14</v>
      </c>
    </row>
    <row r="18" ht="20.05" customHeight="1">
      <c r="B18" s="29"/>
      <c r="C18" s="14">
        <v>943</v>
      </c>
      <c r="D18" s="15">
        <v>1312</v>
      </c>
      <c r="E18" s="15">
        <f>F18-D18-C18</f>
        <v>37</v>
      </c>
      <c r="F18" s="15">
        <v>2292</v>
      </c>
      <c r="G18" s="15">
        <v>-3206</v>
      </c>
      <c r="H18" s="15"/>
      <c r="I18" s="15"/>
      <c r="J18" s="15">
        <v>885</v>
      </c>
      <c r="K18" s="15">
        <f>F18+G18</f>
        <v>-914</v>
      </c>
      <c r="L18" s="15">
        <f>AVERAGE(K15:K18)</f>
        <v>-1041.5</v>
      </c>
      <c r="M18" s="15"/>
      <c r="N18" s="15">
        <f>-J18+N17</f>
        <v>-9386</v>
      </c>
      <c r="O18" s="15"/>
      <c r="P18" s="15">
        <f>1+P17</f>
        <v>15</v>
      </c>
    </row>
    <row r="19" ht="20.05" customHeight="1">
      <c r="B19" s="29"/>
      <c r="C19" s="14">
        <v>301</v>
      </c>
      <c r="D19" s="15">
        <v>1128</v>
      </c>
      <c r="E19" s="15">
        <f>F19-D19-C19</f>
        <v>-61</v>
      </c>
      <c r="F19" s="15">
        <v>1368</v>
      </c>
      <c r="G19" s="15">
        <v>-2389</v>
      </c>
      <c r="H19" s="15"/>
      <c r="I19" s="15"/>
      <c r="J19" s="15">
        <v>5559</v>
      </c>
      <c r="K19" s="15">
        <f>F19+G19</f>
        <v>-1021</v>
      </c>
      <c r="L19" s="15">
        <f>AVERAGE(K16:K19)</f>
        <v>-1089.25</v>
      </c>
      <c r="M19" s="15"/>
      <c r="N19" s="15">
        <f>-J19+N18</f>
        <v>-14945</v>
      </c>
      <c r="O19" s="15"/>
      <c r="P19" s="15">
        <f>1+P18</f>
        <v>16</v>
      </c>
    </row>
    <row r="20" ht="20.05" customHeight="1">
      <c r="B20" s="33">
        <v>2019</v>
      </c>
      <c r="C20" s="14">
        <v>606</v>
      </c>
      <c r="D20" s="15">
        <v>1329</v>
      </c>
      <c r="E20" s="15">
        <f>F20-D20-C20</f>
        <v>-338</v>
      </c>
      <c r="F20" s="15">
        <v>1597</v>
      </c>
      <c r="G20" s="15">
        <v>-6945</v>
      </c>
      <c r="H20" s="15"/>
      <c r="I20" s="15"/>
      <c r="J20" s="15">
        <v>1427</v>
      </c>
      <c r="K20" s="15">
        <f>F20+G20</f>
        <v>-5348</v>
      </c>
      <c r="L20" s="15">
        <f>AVERAGE(K17:K20)</f>
        <v>-1832</v>
      </c>
      <c r="M20" s="15"/>
      <c r="N20" s="15">
        <f>-J20+N19</f>
        <v>-16372</v>
      </c>
      <c r="O20" s="15"/>
      <c r="P20" s="15">
        <f>1+P19</f>
        <v>17</v>
      </c>
    </row>
    <row r="21" ht="20.05" customHeight="1">
      <c r="B21" s="29"/>
      <c r="C21" s="14">
        <v>1139</v>
      </c>
      <c r="D21" s="15">
        <v>-409</v>
      </c>
      <c r="E21" s="15">
        <f>F21-D21-C21</f>
        <v>954</v>
      </c>
      <c r="F21" s="15">
        <v>1684</v>
      </c>
      <c r="G21" s="15">
        <v>-1946</v>
      </c>
      <c r="H21" s="15"/>
      <c r="I21" s="15"/>
      <c r="J21" s="15">
        <v>625</v>
      </c>
      <c r="K21" s="15">
        <f>F21+G21</f>
        <v>-262</v>
      </c>
      <c r="L21" s="15">
        <f>AVERAGE(K18:K21)</f>
        <v>-1886.25</v>
      </c>
      <c r="M21" s="15"/>
      <c r="N21" s="15">
        <f>-J21+N20</f>
        <v>-16997</v>
      </c>
      <c r="O21" s="15"/>
      <c r="P21" s="15">
        <f>1+P20</f>
        <v>18</v>
      </c>
    </row>
    <row r="22" ht="20.05" customHeight="1">
      <c r="B22" s="29"/>
      <c r="C22" s="14">
        <v>799</v>
      </c>
      <c r="D22" s="15">
        <v>2808</v>
      </c>
      <c r="E22" s="15">
        <f>F22-D22-C22</f>
        <v>-645</v>
      </c>
      <c r="F22" s="15">
        <v>2962</v>
      </c>
      <c r="G22" s="15">
        <v>-3572</v>
      </c>
      <c r="H22" s="15"/>
      <c r="I22" s="15"/>
      <c r="J22" s="15">
        <v>471</v>
      </c>
      <c r="K22" s="15">
        <f>F22+G22</f>
        <v>-610</v>
      </c>
      <c r="L22" s="15">
        <f>AVERAGE(K19:K22)</f>
        <v>-1810.25</v>
      </c>
      <c r="M22" s="15"/>
      <c r="N22" s="15">
        <f>-J22+N21</f>
        <v>-17468</v>
      </c>
      <c r="O22" s="15"/>
      <c r="P22" s="15">
        <f>1+P21</f>
        <v>19</v>
      </c>
    </row>
    <row r="23" ht="20.05" customHeight="1">
      <c r="B23" s="29"/>
      <c r="C23" s="14">
        <v>844</v>
      </c>
      <c r="D23" s="15">
        <v>662</v>
      </c>
      <c r="E23" s="15">
        <f>F23-D23-C23</f>
        <v>406</v>
      </c>
      <c r="F23" s="15">
        <v>1912</v>
      </c>
      <c r="G23" s="15">
        <v>-3714</v>
      </c>
      <c r="H23" s="15"/>
      <c r="I23" s="15"/>
      <c r="J23" s="15">
        <v>1350</v>
      </c>
      <c r="K23" s="15">
        <f>F23+G23</f>
        <v>-1802</v>
      </c>
      <c r="L23" s="15">
        <f>AVERAGE(K20:K23)</f>
        <v>-2005.5</v>
      </c>
      <c r="M23" s="15"/>
      <c r="N23" s="15">
        <f>-J23+N22</f>
        <v>-18818</v>
      </c>
      <c r="O23" s="15"/>
      <c r="P23" s="15">
        <f>1+P22</f>
        <v>20</v>
      </c>
    </row>
    <row r="24" ht="20.05" customHeight="1">
      <c r="B24" s="33">
        <v>2020</v>
      </c>
      <c r="C24" s="14">
        <v>308</v>
      </c>
      <c r="D24" s="15">
        <v>1760</v>
      </c>
      <c r="E24" s="15">
        <f>F24-D24-C24</f>
        <v>-174</v>
      </c>
      <c r="F24" s="15">
        <v>1894</v>
      </c>
      <c r="G24" s="15">
        <v>-3135</v>
      </c>
      <c r="H24" s="15"/>
      <c r="I24" s="15"/>
      <c r="J24" s="15">
        <v>3961</v>
      </c>
      <c r="K24" s="15">
        <f>F24+G24</f>
        <v>-1241</v>
      </c>
      <c r="L24" s="15">
        <f>AVERAGE(K21:K24)</f>
        <v>-978.75</v>
      </c>
      <c r="M24" s="15"/>
      <c r="N24" s="15">
        <f>-J24+N23</f>
        <v>-22779</v>
      </c>
      <c r="O24" s="15"/>
      <c r="P24" s="15">
        <f>1+P23</f>
        <v>21</v>
      </c>
    </row>
    <row r="25" ht="20.05" customHeight="1">
      <c r="B25" s="29"/>
      <c r="C25" s="14">
        <v>1128</v>
      </c>
      <c r="D25" s="15">
        <v>520</v>
      </c>
      <c r="E25" s="15">
        <f>F25-D25-C25</f>
        <v>250</v>
      </c>
      <c r="F25" s="15">
        <v>1898</v>
      </c>
      <c r="G25" s="15">
        <v>-3050</v>
      </c>
      <c r="H25" s="15"/>
      <c r="I25" s="15"/>
      <c r="J25" s="15">
        <v>-1238</v>
      </c>
      <c r="K25" s="15">
        <f>F25+G25</f>
        <v>-1152</v>
      </c>
      <c r="L25" s="15">
        <f>AVERAGE(K22:K25)</f>
        <v>-1201.25</v>
      </c>
      <c r="M25" s="15"/>
      <c r="N25" s="15">
        <f>-J25+N24</f>
        <v>-21541</v>
      </c>
      <c r="O25" s="15"/>
      <c r="P25" s="15">
        <f>1+P24</f>
        <v>22</v>
      </c>
    </row>
    <row r="26" ht="20.05" customHeight="1">
      <c r="B26" s="29"/>
      <c r="C26" s="14">
        <f>2559-C24-C25</f>
        <v>1123</v>
      </c>
      <c r="D26" s="15">
        <v>1613</v>
      </c>
      <c r="E26" s="15">
        <f>F26-D26-C26</f>
        <v>103</v>
      </c>
      <c r="F26" s="15">
        <f>6631-F24-F25</f>
        <v>2839</v>
      </c>
      <c r="G26" s="15">
        <f>-9206-G24-G25</f>
        <v>-3021</v>
      </c>
      <c r="H26" s="15"/>
      <c r="I26" s="15"/>
      <c r="J26" s="15">
        <f>3914-J24-J25</f>
        <v>1191</v>
      </c>
      <c r="K26" s="15">
        <f>F26+G26</f>
        <v>-182</v>
      </c>
      <c r="L26" s="15">
        <f>AVERAGE(K23:K26)</f>
        <v>-1094.25</v>
      </c>
      <c r="M26" s="15"/>
      <c r="N26" s="15">
        <f>-J26+N25</f>
        <v>-22732</v>
      </c>
      <c r="O26" s="15"/>
      <c r="P26" s="15">
        <f>1+P25</f>
        <v>23</v>
      </c>
    </row>
    <row r="27" ht="20.05" customHeight="1">
      <c r="B27" s="29"/>
      <c r="C27" s="14">
        <v>-190</v>
      </c>
      <c r="D27" s="15">
        <v>2325</v>
      </c>
      <c r="E27" s="15">
        <f>F27-D27-C27</f>
        <v>-783</v>
      </c>
      <c r="F27" s="15">
        <v>1352</v>
      </c>
      <c r="G27" s="15">
        <v>-4493</v>
      </c>
      <c r="H27" s="15"/>
      <c r="I27" s="15"/>
      <c r="J27" s="15">
        <v>2260</v>
      </c>
      <c r="K27" s="15">
        <f>F27+G27</f>
        <v>-3141</v>
      </c>
      <c r="L27" s="15">
        <f>AVERAGE(K24:K27)</f>
        <v>-1429</v>
      </c>
      <c r="M27" s="15"/>
      <c r="N27" s="15">
        <f>-J27+N26</f>
        <v>-24992</v>
      </c>
      <c r="O27" s="15"/>
      <c r="P27" s="15">
        <f>1+P26</f>
        <v>24</v>
      </c>
    </row>
    <row r="28" ht="20.05" customHeight="1">
      <c r="B28" s="33">
        <v>2021</v>
      </c>
      <c r="C28" s="14">
        <v>1498</v>
      </c>
      <c r="D28" s="15">
        <f>749+74-320-51+297-86-440+121-43-239</f>
        <v>62</v>
      </c>
      <c r="E28" s="15">
        <f>F28-D28-C28</f>
        <v>-268</v>
      </c>
      <c r="F28" s="15">
        <v>1292</v>
      </c>
      <c r="G28" s="15">
        <v>-4420</v>
      </c>
      <c r="H28" s="15"/>
      <c r="I28" s="15"/>
      <c r="J28" s="15">
        <v>3743</v>
      </c>
      <c r="K28" s="15">
        <f>F28+G28</f>
        <v>-3128</v>
      </c>
      <c r="L28" s="15">
        <f>AVERAGE(K25:K28)</f>
        <v>-1900.75</v>
      </c>
      <c r="M28" s="15"/>
      <c r="N28" s="15">
        <f>-J28+N27</f>
        <v>-28735</v>
      </c>
      <c r="O28" s="15"/>
      <c r="P28" s="15">
        <f>1+P27</f>
        <v>25</v>
      </c>
    </row>
    <row r="29" ht="20.05" customHeight="1">
      <c r="B29" s="29"/>
      <c r="C29" s="14">
        <v>72</v>
      </c>
      <c r="D29" s="15">
        <v>2325</v>
      </c>
      <c r="E29" s="15">
        <f>F29-D29-C29</f>
        <v>-194</v>
      </c>
      <c r="F29" s="15">
        <v>2203</v>
      </c>
      <c r="G29" s="15">
        <v>-3741</v>
      </c>
      <c r="H29" s="15"/>
      <c r="I29" s="15"/>
      <c r="J29" s="15">
        <v>806</v>
      </c>
      <c r="K29" s="15">
        <f>F29+G29</f>
        <v>-1538</v>
      </c>
      <c r="L29" s="15">
        <f>AVERAGE(K26:K29)</f>
        <v>-1997.25</v>
      </c>
      <c r="M29" s="15"/>
      <c r="N29" s="15">
        <f>-J29+N28</f>
        <v>-29541</v>
      </c>
      <c r="O29" s="15"/>
      <c r="P29" s="15">
        <f>1+P28</f>
        <v>26</v>
      </c>
    </row>
    <row r="30" ht="20.05" customHeight="1">
      <c r="B30" s="29"/>
      <c r="C30" s="14">
        <f>1874-C29-C28</f>
        <v>304</v>
      </c>
      <c r="D30" s="15">
        <f>2960+202+2250-70+140-202-465+392-89-399-D29+D28</f>
        <v>2456</v>
      </c>
      <c r="E30" s="15">
        <f>F30-D30-C30</f>
        <v>-19</v>
      </c>
      <c r="F30" s="15">
        <f>6236-F29-F28</f>
        <v>2741</v>
      </c>
      <c r="G30" s="15">
        <f>-11845-G29-G28</f>
        <v>-3684</v>
      </c>
      <c r="H30" s="15">
        <f>5066-I30</f>
        <v>7326</v>
      </c>
      <c r="I30" s="15">
        <v>-2260</v>
      </c>
      <c r="J30" s="15">
        <f>5066-J29-J28</f>
        <v>517</v>
      </c>
      <c r="K30" s="15">
        <f>F30+G30</f>
        <v>-943</v>
      </c>
      <c r="L30" s="15">
        <f>AVERAGE(K27:K30)</f>
        <v>-2187.5</v>
      </c>
      <c r="M30" s="15"/>
      <c r="N30" s="15">
        <f>-J30+N29</f>
        <v>-30058</v>
      </c>
      <c r="O30" s="15"/>
      <c r="P30" s="15">
        <f>1+P29</f>
        <v>27</v>
      </c>
    </row>
    <row r="31" ht="20.05" customHeight="1">
      <c r="B31" s="29"/>
      <c r="C31" s="14">
        <f>2827-C30-C29-C28</f>
        <v>953</v>
      </c>
      <c r="D31" s="15">
        <f>5249-D30-D29-D28</f>
        <v>406</v>
      </c>
      <c r="E31" s="15">
        <f>F31-D31-C31</f>
        <v>-42</v>
      </c>
      <c r="F31" s="15">
        <f>7553-F30-F29-F28</f>
        <v>1317</v>
      </c>
      <c r="G31" s="15">
        <f>-13591-G30-G29-G28</f>
        <v>-1746</v>
      </c>
      <c r="H31" s="15">
        <f>9442-H30</f>
        <v>2116</v>
      </c>
      <c r="I31" s="15">
        <f>-3024-I30</f>
        <v>-764</v>
      </c>
      <c r="J31" s="15">
        <f>5807-J30-J29-J28</f>
        <v>741</v>
      </c>
      <c r="K31" s="15">
        <f>F31+G31</f>
        <v>-429</v>
      </c>
      <c r="L31" s="15">
        <f>AVERAGE(K28:K31)</f>
        <v>-1509.5</v>
      </c>
      <c r="M31" s="15"/>
      <c r="N31" s="15">
        <f>-(H31+I31)+N30</f>
        <v>-31410</v>
      </c>
      <c r="O31" s="15"/>
      <c r="P31" s="15">
        <f>1+P30</f>
        <v>28</v>
      </c>
    </row>
    <row r="32" ht="20.05" customHeight="1">
      <c r="B32" s="33">
        <v>2022</v>
      </c>
      <c r="C32" s="14">
        <v>-693</v>
      </c>
      <c r="D32" s="15">
        <f>F32-E32-C32</f>
        <v>3132</v>
      </c>
      <c r="E32" s="15">
        <v>-477</v>
      </c>
      <c r="F32" s="15">
        <v>1962</v>
      </c>
      <c r="G32" s="15">
        <v>-4693</v>
      </c>
      <c r="H32" s="15">
        <v>4889</v>
      </c>
      <c r="I32" s="15">
        <v>-835</v>
      </c>
      <c r="J32" s="15">
        <v>4153</v>
      </c>
      <c r="K32" s="15">
        <f>F32+G32</f>
        <v>-2731</v>
      </c>
      <c r="L32" s="15">
        <f>AVERAGE(K29:K32)</f>
        <v>-1410.25</v>
      </c>
      <c r="M32" s="15">
        <f>L32</f>
        <v>-1410.25</v>
      </c>
      <c r="N32" s="15">
        <f>-(H32+I32)+N31</f>
        <v>-35464</v>
      </c>
      <c r="O32" s="15">
        <f>N32</f>
        <v>-35464</v>
      </c>
      <c r="P32" s="15">
        <f>1+P31</f>
        <v>29</v>
      </c>
    </row>
    <row r="33" ht="20.05" customHeight="1">
      <c r="B33" s="29"/>
      <c r="C33" s="14"/>
      <c r="D33" s="15"/>
      <c r="E33" s="15"/>
      <c r="F33" s="15"/>
      <c r="G33" s="15"/>
      <c r="H33" s="15"/>
      <c r="I33" s="15"/>
      <c r="J33" s="15"/>
      <c r="K33" s="15"/>
      <c r="L33" s="39"/>
      <c r="M33" s="15">
        <f>SUM('Model'!F9:F10)</f>
        <v>-457.786930954780</v>
      </c>
      <c r="N33" s="39"/>
      <c r="O33" s="15">
        <f>'Model'!F33</f>
        <v>-37654.0051897057</v>
      </c>
      <c r="P33" s="15"/>
    </row>
  </sheetData>
  <mergeCells count="1">
    <mergeCell ref="B2:P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2.0391" style="40" customWidth="1"/>
    <col min="2" max="2" width="9.75" style="40" customWidth="1"/>
    <col min="3" max="11" width="10.7422" style="40" customWidth="1"/>
    <col min="12" max="16384" width="16.3516" style="40" customWidth="1"/>
  </cols>
  <sheetData>
    <row r="1" ht="38.45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50</v>
      </c>
      <c r="D3" t="s" s="5">
        <v>51</v>
      </c>
      <c r="E3" t="s" s="5">
        <v>23</v>
      </c>
      <c r="F3" t="s" s="5">
        <v>24</v>
      </c>
      <c r="G3" t="s" s="5">
        <v>11</v>
      </c>
      <c r="H3" t="s" s="5">
        <v>26</v>
      </c>
      <c r="I3" t="s" s="5">
        <v>27</v>
      </c>
      <c r="J3" t="s" s="5">
        <v>28</v>
      </c>
      <c r="K3" t="s" s="5">
        <v>35</v>
      </c>
    </row>
    <row r="4" ht="20.25" customHeight="1">
      <c r="B4" s="25">
        <v>2015</v>
      </c>
      <c r="C4" s="37">
        <v>469</v>
      </c>
      <c r="D4" s="38">
        <v>74929</v>
      </c>
      <c r="E4" s="38">
        <f>D4-C4</f>
        <v>74460</v>
      </c>
      <c r="F4" s="38">
        <f>'Cashflow '!D4</f>
        <v>805</v>
      </c>
      <c r="G4" s="38">
        <v>54465</v>
      </c>
      <c r="H4" s="38">
        <v>20464</v>
      </c>
      <c r="I4" s="38">
        <f>G4+H4-C4-E4</f>
        <v>0</v>
      </c>
      <c r="J4" s="38">
        <f>C4-G4</f>
        <v>-53996</v>
      </c>
      <c r="K4" s="38"/>
    </row>
    <row r="5" ht="20.05" customHeight="1">
      <c r="B5" s="29"/>
      <c r="C5" s="14">
        <v>551</v>
      </c>
      <c r="D5" s="15">
        <v>77201</v>
      </c>
      <c r="E5" s="15">
        <f>D5-C5</f>
        <v>76650</v>
      </c>
      <c r="F5" s="15">
        <f>F4+'Cashflow '!D5</f>
        <v>1798</v>
      </c>
      <c r="G5" s="15">
        <v>55600</v>
      </c>
      <c r="H5" s="15">
        <v>21601</v>
      </c>
      <c r="I5" s="15">
        <f>G5+H5-C5-E5</f>
        <v>0</v>
      </c>
      <c r="J5" s="15">
        <f>C5-G5</f>
        <v>-55049</v>
      </c>
      <c r="K5" s="15"/>
    </row>
    <row r="6" ht="20.05" customHeight="1">
      <c r="B6" s="29"/>
      <c r="C6" s="14">
        <v>1181</v>
      </c>
      <c r="D6" s="15">
        <v>79963</v>
      </c>
      <c r="E6" s="15">
        <f>D6-C6</f>
        <v>78782</v>
      </c>
      <c r="F6" s="15">
        <f>F5+'Cashflow '!D6</f>
        <v>2305</v>
      </c>
      <c r="G6" s="15">
        <v>57137</v>
      </c>
      <c r="H6" s="15">
        <v>22826</v>
      </c>
      <c r="I6" s="15">
        <f>G6+H6-C6-E6</f>
        <v>0</v>
      </c>
      <c r="J6" s="15">
        <f>C6-G6</f>
        <v>-55956</v>
      </c>
      <c r="K6" s="15"/>
    </row>
    <row r="7" ht="20.05" customHeight="1">
      <c r="B7" s="29"/>
      <c r="C7" s="14">
        <v>571</v>
      </c>
      <c r="D7" s="15">
        <v>82479</v>
      </c>
      <c r="E7" s="15">
        <f>D7-C7</f>
        <v>81908</v>
      </c>
      <c r="F7" s="15">
        <f>F6+'Cashflow '!D7</f>
        <v>3446</v>
      </c>
      <c r="G7" s="15">
        <v>59367</v>
      </c>
      <c r="H7" s="15">
        <v>23112</v>
      </c>
      <c r="I7" s="15">
        <f>G7+H7-C7-E7</f>
        <v>0</v>
      </c>
      <c r="J7" s="15">
        <f>C7-G7</f>
        <v>-58796</v>
      </c>
      <c r="K7" s="15"/>
    </row>
    <row r="8" ht="20.05" customHeight="1">
      <c r="B8" s="33">
        <v>2016</v>
      </c>
      <c r="C8" s="14">
        <v>628</v>
      </c>
      <c r="D8" s="15">
        <v>84637</v>
      </c>
      <c r="E8" s="15">
        <f>D8-C8</f>
        <v>84009</v>
      </c>
      <c r="F8" s="15">
        <f>F7+'Cashflow '!D8</f>
        <v>4326</v>
      </c>
      <c r="G8" s="15">
        <v>61007</v>
      </c>
      <c r="H8" s="15">
        <v>23630</v>
      </c>
      <c r="I8" s="15">
        <f>G8+H8-C8-E8</f>
        <v>0</v>
      </c>
      <c r="J8" s="15">
        <f>C8-G8</f>
        <v>-60379</v>
      </c>
      <c r="K8" s="15"/>
    </row>
    <row r="9" ht="20.05" customHeight="1">
      <c r="B9" s="29"/>
      <c r="C9" s="14">
        <v>730</v>
      </c>
      <c r="D9" s="15">
        <v>85420</v>
      </c>
      <c r="E9" s="15">
        <f>D9-C9</f>
        <v>84690</v>
      </c>
      <c r="F9" s="15">
        <f>F8+'Cashflow '!D9</f>
        <v>5594</v>
      </c>
      <c r="G9" s="15">
        <v>61538</v>
      </c>
      <c r="H9" s="15">
        <v>23882</v>
      </c>
      <c r="I9" s="15">
        <f>G9+H9-C9-E9</f>
        <v>0</v>
      </c>
      <c r="J9" s="15">
        <f>C9-G9</f>
        <v>-60808</v>
      </c>
      <c r="K9" s="15"/>
    </row>
    <row r="10" ht="20.05" customHeight="1">
      <c r="B10" s="29"/>
      <c r="C10" s="14">
        <v>681</v>
      </c>
      <c r="D10" s="15">
        <v>87864</v>
      </c>
      <c r="E10" s="15">
        <f>D10-C10</f>
        <v>87183</v>
      </c>
      <c r="F10" s="15">
        <f>F9+'Cashflow '!D10</f>
        <v>6639</v>
      </c>
      <c r="G10" s="15">
        <v>62995</v>
      </c>
      <c r="H10" s="15">
        <v>24869</v>
      </c>
      <c r="I10" s="15">
        <f>G10+H10-C10-E10</f>
        <v>0</v>
      </c>
      <c r="J10" s="15">
        <f>C10-G10</f>
        <v>-62314</v>
      </c>
      <c r="K10" s="15"/>
    </row>
    <row r="11" ht="20.05" customHeight="1">
      <c r="B11" s="29"/>
      <c r="C11" s="14">
        <v>1292</v>
      </c>
      <c r="D11" s="15">
        <v>89993</v>
      </c>
      <c r="E11" s="15">
        <f>D11-C11</f>
        <v>88701</v>
      </c>
      <c r="F11" s="15">
        <f>F10+'Cashflow '!D11</f>
        <v>7000</v>
      </c>
      <c r="G11" s="15">
        <v>64662</v>
      </c>
      <c r="H11" s="15">
        <v>25331</v>
      </c>
      <c r="I11" s="15">
        <f>G11+H11-C11-E11</f>
        <v>0</v>
      </c>
      <c r="J11" s="15">
        <f>C11-G11</f>
        <v>-63370</v>
      </c>
      <c r="K11" s="15"/>
    </row>
    <row r="12" ht="20.05" customHeight="1">
      <c r="B12" s="33">
        <v>2017</v>
      </c>
      <c r="C12" s="14">
        <v>600</v>
      </c>
      <c r="D12" s="15">
        <v>91205</v>
      </c>
      <c r="E12" s="15">
        <f>D12-C12</f>
        <v>90605</v>
      </c>
      <c r="F12" s="15">
        <f>F11+'Cashflow '!D12</f>
        <v>6706</v>
      </c>
      <c r="G12" s="15">
        <v>64736</v>
      </c>
      <c r="H12" s="15">
        <v>26469</v>
      </c>
      <c r="I12" s="15">
        <f>G12+H12-C12-E12</f>
        <v>0</v>
      </c>
      <c r="J12" s="15">
        <f>C12-G12</f>
        <v>-64136</v>
      </c>
      <c r="K12" s="15"/>
    </row>
    <row r="13" ht="20.05" customHeight="1">
      <c r="B13" s="29"/>
      <c r="C13" s="14">
        <v>642</v>
      </c>
      <c r="D13" s="15">
        <v>92890</v>
      </c>
      <c r="E13" s="15">
        <f>D13-C13</f>
        <v>92248</v>
      </c>
      <c r="F13" s="15">
        <f>F12+'Cashflow '!D13</f>
        <v>7917</v>
      </c>
      <c r="G13" s="15">
        <v>66014</v>
      </c>
      <c r="H13" s="15">
        <v>26876</v>
      </c>
      <c r="I13" s="15">
        <f>G13+H13-C13-E13</f>
        <v>0</v>
      </c>
      <c r="J13" s="15">
        <f>C13-G13</f>
        <v>-65372</v>
      </c>
      <c r="K13" s="15"/>
    </row>
    <row r="14" ht="20.05" customHeight="1">
      <c r="B14" s="29"/>
      <c r="C14" s="14">
        <v>1381</v>
      </c>
      <c r="D14" s="15">
        <v>96781</v>
      </c>
      <c r="E14" s="15">
        <f>D14-C14</f>
        <v>95400</v>
      </c>
      <c r="F14" s="15">
        <f>F13+'Cashflow '!D14</f>
        <v>9218</v>
      </c>
      <c r="G14" s="15">
        <v>69460</v>
      </c>
      <c r="H14" s="15">
        <v>27321</v>
      </c>
      <c r="I14" s="15">
        <f>G14+H14-C14-E14</f>
        <v>0</v>
      </c>
      <c r="J14" s="15">
        <f>C14-G14</f>
        <v>-68079</v>
      </c>
      <c r="K14" s="15"/>
    </row>
    <row r="15" ht="20.05" customHeight="1">
      <c r="B15" s="29"/>
      <c r="C15" s="14">
        <v>1714</v>
      </c>
      <c r="D15" s="15">
        <v>97827</v>
      </c>
      <c r="E15" s="15">
        <f>D15-C15</f>
        <v>96113</v>
      </c>
      <c r="F15" s="15">
        <f>F14+'Cashflow '!D15</f>
        <v>8667</v>
      </c>
      <c r="G15" s="15">
        <v>68329</v>
      </c>
      <c r="H15" s="15">
        <v>29498</v>
      </c>
      <c r="I15" s="15">
        <f>G15+H15-C15-E15</f>
        <v>0</v>
      </c>
      <c r="J15" s="15">
        <f>C15-G15</f>
        <v>-66615</v>
      </c>
      <c r="K15" s="15"/>
    </row>
    <row r="16" ht="20.05" customHeight="1">
      <c r="B16" s="33">
        <v>2018</v>
      </c>
      <c r="C16" s="14">
        <v>550</v>
      </c>
      <c r="D16" s="15">
        <v>94284</v>
      </c>
      <c r="E16" s="15">
        <f>D16-C16</f>
        <v>93734</v>
      </c>
      <c r="F16" s="15">
        <f>F15+'Cashflow '!D16</f>
        <v>6521</v>
      </c>
      <c r="G16" s="15">
        <v>58291</v>
      </c>
      <c r="H16" s="15">
        <v>35993</v>
      </c>
      <c r="I16" s="15">
        <f>G16+H16-C16-E16</f>
        <v>0</v>
      </c>
      <c r="J16" s="15">
        <f>C16-G16</f>
        <v>-57741</v>
      </c>
      <c r="K16" s="15"/>
    </row>
    <row r="17" ht="20.05" customHeight="1">
      <c r="B17" s="29"/>
      <c r="C17" s="14">
        <v>473</v>
      </c>
      <c r="D17" s="15">
        <v>95490</v>
      </c>
      <c r="E17" s="15">
        <f>D17-C17</f>
        <v>95017</v>
      </c>
      <c r="F17" s="15">
        <f>F16+'Cashflow '!D17</f>
        <v>7642</v>
      </c>
      <c r="G17" s="15">
        <v>59318</v>
      </c>
      <c r="H17" s="15">
        <v>36172</v>
      </c>
      <c r="I17" s="15">
        <f>G17+H17-C17-E17</f>
        <v>0</v>
      </c>
      <c r="J17" s="15">
        <f>C17-G17</f>
        <v>-58845</v>
      </c>
      <c r="K17" s="15"/>
    </row>
    <row r="18" ht="20.05" customHeight="1">
      <c r="B18" s="29"/>
      <c r="C18" s="14">
        <v>497</v>
      </c>
      <c r="D18" s="15">
        <v>98603</v>
      </c>
      <c r="E18" s="15">
        <f>D18-C18</f>
        <v>98106</v>
      </c>
      <c r="F18" s="15">
        <f>F17+'Cashflow '!D18</f>
        <v>8954</v>
      </c>
      <c r="G18" s="15">
        <v>61265</v>
      </c>
      <c r="H18" s="15">
        <v>37338</v>
      </c>
      <c r="I18" s="15">
        <f>G18+H18-C18-E18</f>
        <v>0</v>
      </c>
      <c r="J18" s="15">
        <f>C18-G18</f>
        <v>-60768</v>
      </c>
      <c r="K18" s="15"/>
    </row>
    <row r="19" ht="20.05" customHeight="1">
      <c r="B19" s="29"/>
      <c r="C19" s="14">
        <v>638</v>
      </c>
      <c r="D19" s="15">
        <v>103702</v>
      </c>
      <c r="E19" s="15">
        <f>D19-C19</f>
        <v>103064</v>
      </c>
      <c r="F19" s="15">
        <f>F18+'Cashflow '!D19</f>
        <v>10082</v>
      </c>
      <c r="G19" s="15">
        <v>66289</v>
      </c>
      <c r="H19" s="15">
        <v>37413</v>
      </c>
      <c r="I19" s="15">
        <f>G19+H19-C19-E19</f>
        <v>0</v>
      </c>
      <c r="J19" s="15">
        <f>C19-G19</f>
        <v>-65651</v>
      </c>
      <c r="K19" s="15"/>
    </row>
    <row r="20" ht="20.05" customHeight="1">
      <c r="B20" s="33">
        <v>2019</v>
      </c>
      <c r="C20" s="14">
        <v>972</v>
      </c>
      <c r="D20" s="15">
        <v>109029</v>
      </c>
      <c r="E20" s="15">
        <f>D20-C20</f>
        <v>108057</v>
      </c>
      <c r="F20" s="15">
        <f>F19+'Cashflow '!D20</f>
        <v>11411</v>
      </c>
      <c r="G20" s="15">
        <v>71189</v>
      </c>
      <c r="H20" s="15">
        <v>37840</v>
      </c>
      <c r="I20" s="15">
        <f>G20+H20-C20-E20</f>
        <v>0</v>
      </c>
      <c r="J20" s="15">
        <f>C20-G20</f>
        <v>-70217</v>
      </c>
      <c r="K20" s="15"/>
    </row>
    <row r="21" ht="20.05" customHeight="1">
      <c r="B21" s="29"/>
      <c r="C21" s="14">
        <v>1019</v>
      </c>
      <c r="D21" s="15">
        <v>110552</v>
      </c>
      <c r="E21" s="15">
        <f>D21-C21</f>
        <v>109533</v>
      </c>
      <c r="F21" s="15">
        <f>F20+'Cashflow '!D21</f>
        <v>11002</v>
      </c>
      <c r="G21" s="15">
        <v>72126</v>
      </c>
      <c r="H21" s="15">
        <v>38426</v>
      </c>
      <c r="I21" s="15">
        <f>G21+H21-C21-E21</f>
        <v>0</v>
      </c>
      <c r="J21" s="15">
        <f>C21-G21</f>
        <v>-71107</v>
      </c>
      <c r="K21" s="15"/>
    </row>
    <row r="22" ht="20.05" customHeight="1">
      <c r="B22" s="29"/>
      <c r="C22" s="14">
        <v>1131</v>
      </c>
      <c r="D22" s="15">
        <v>114222</v>
      </c>
      <c r="E22" s="15">
        <f>D22-C22</f>
        <v>113091</v>
      </c>
      <c r="F22" s="15">
        <f>F21+'Cashflow '!D22</f>
        <v>13810</v>
      </c>
      <c r="G22" s="15">
        <v>74048</v>
      </c>
      <c r="H22" s="15">
        <v>40174</v>
      </c>
      <c r="I22" s="15">
        <f>G22+H22-C22-E22</f>
        <v>0</v>
      </c>
      <c r="J22" s="15">
        <f>C22-G22</f>
        <v>-72917</v>
      </c>
      <c r="K22" s="15"/>
    </row>
    <row r="23" ht="20.05" customHeight="1">
      <c r="B23" s="29"/>
      <c r="C23" s="14">
        <v>600</v>
      </c>
      <c r="D23" s="15">
        <v>117691</v>
      </c>
      <c r="E23" s="15">
        <f>D23-C23</f>
        <v>117091</v>
      </c>
      <c r="F23" s="15">
        <f>F22+'Cashflow '!D23</f>
        <v>14472</v>
      </c>
      <c r="G23" s="15">
        <v>76331</v>
      </c>
      <c r="H23" s="15">
        <v>41360</v>
      </c>
      <c r="I23" s="15">
        <f>G23+H23-C23-E23</f>
        <v>0</v>
      </c>
      <c r="J23" s="15">
        <f>C23-G23</f>
        <v>-75731</v>
      </c>
      <c r="K23" s="15"/>
    </row>
    <row r="24" ht="20.05" customHeight="1">
      <c r="B24" s="33">
        <v>2020</v>
      </c>
      <c r="C24" s="14">
        <v>3335</v>
      </c>
      <c r="D24" s="15">
        <v>120637</v>
      </c>
      <c r="E24" s="15">
        <f>D24-C24</f>
        <v>117302</v>
      </c>
      <c r="F24" s="15">
        <f>F23+'Cashflow '!D24</f>
        <v>16232</v>
      </c>
      <c r="G24" s="15">
        <v>79762</v>
      </c>
      <c r="H24" s="15">
        <v>40875</v>
      </c>
      <c r="I24" s="15">
        <f>G24+H24-C24-E24</f>
        <v>0</v>
      </c>
      <c r="J24" s="15">
        <f>C24-G24</f>
        <v>-76427</v>
      </c>
      <c r="K24" s="15"/>
    </row>
    <row r="25" ht="20.05" customHeight="1">
      <c r="B25" s="29"/>
      <c r="C25" s="14">
        <v>1009</v>
      </c>
      <c r="D25" s="15">
        <v>121961</v>
      </c>
      <c r="E25" s="15">
        <f>D25-C25</f>
        <v>120952</v>
      </c>
      <c r="F25" s="15">
        <f>F24+'Cashflow '!D25</f>
        <v>16752</v>
      </c>
      <c r="G25" s="15">
        <v>80387</v>
      </c>
      <c r="H25" s="15">
        <v>41574</v>
      </c>
      <c r="I25" s="15">
        <f>G25+H25-C25-E25</f>
        <v>0</v>
      </c>
      <c r="J25" s="15">
        <f>C25-G25</f>
        <v>-79378</v>
      </c>
      <c r="K25" s="15"/>
    </row>
    <row r="26" ht="20.05" customHeight="1">
      <c r="B26" s="29"/>
      <c r="C26" s="14">
        <v>1961</v>
      </c>
      <c r="D26" s="15">
        <v>126382</v>
      </c>
      <c r="E26" s="15">
        <f>D26-C26</f>
        <v>124421</v>
      </c>
      <c r="F26" s="15">
        <f>F25+'Cashflow '!D26</f>
        <v>18365</v>
      </c>
      <c r="G26" s="15">
        <v>84320</v>
      </c>
      <c r="H26" s="15">
        <v>42062</v>
      </c>
      <c r="I26" s="15">
        <f>G26+H26-C26-E26</f>
        <v>0</v>
      </c>
      <c r="J26" s="15">
        <f>C26-G26</f>
        <v>-82359</v>
      </c>
      <c r="K26" s="15"/>
    </row>
    <row r="27" ht="20.05" customHeight="1">
      <c r="B27" s="29"/>
      <c r="C27" s="14">
        <v>1105</v>
      </c>
      <c r="D27" s="15">
        <v>127684</v>
      </c>
      <c r="E27" s="15">
        <f>D27-C27</f>
        <v>126579</v>
      </c>
      <c r="F27" s="15">
        <f>F26+'Cashflow '!D27</f>
        <v>20690</v>
      </c>
      <c r="G27" s="15">
        <v>82755</v>
      </c>
      <c r="H27" s="15">
        <v>44929</v>
      </c>
      <c r="I27" s="15">
        <f>G27+H27-C27-E27</f>
        <v>0</v>
      </c>
      <c r="J27" s="15">
        <f>C27-G27</f>
        <v>-81650</v>
      </c>
      <c r="K27" s="21"/>
    </row>
    <row r="28" ht="20.05" customHeight="1">
      <c r="B28" s="33">
        <v>2021</v>
      </c>
      <c r="C28" s="14">
        <v>1462</v>
      </c>
      <c r="D28" s="15">
        <v>132441</v>
      </c>
      <c r="E28" s="15">
        <f>D28-C28</f>
        <v>130979</v>
      </c>
      <c r="F28" s="15">
        <f>F27+'Cashflow '!D28</f>
        <v>20752</v>
      </c>
      <c r="G28" s="15">
        <v>86711</v>
      </c>
      <c r="H28" s="15">
        <v>45730</v>
      </c>
      <c r="I28" s="15">
        <f>G28+H28-C28-E28</f>
        <v>0</v>
      </c>
      <c r="J28" s="15">
        <f>C28-G28</f>
        <v>-85249</v>
      </c>
      <c r="K28" s="15"/>
    </row>
    <row r="29" ht="20.05" customHeight="1">
      <c r="B29" s="29"/>
      <c r="C29" s="14">
        <v>1102</v>
      </c>
      <c r="D29" s="15">
        <v>127684</v>
      </c>
      <c r="E29" s="15">
        <f>D29-C29</f>
        <v>126582</v>
      </c>
      <c r="F29" s="15">
        <f>F28+'Cashflow '!D29</f>
        <v>23077</v>
      </c>
      <c r="G29" s="15">
        <v>82755</v>
      </c>
      <c r="H29" s="15">
        <v>44929</v>
      </c>
      <c r="I29" s="15">
        <f>G29+H29-C29-E29</f>
        <v>0</v>
      </c>
      <c r="J29" s="15">
        <f>C29-G29</f>
        <v>-81653</v>
      </c>
      <c r="K29" s="15"/>
    </row>
    <row r="30" ht="20.05" customHeight="1">
      <c r="B30" s="29"/>
      <c r="C30" s="14">
        <v>692</v>
      </c>
      <c r="D30" s="15">
        <v>139163</v>
      </c>
      <c r="E30" s="15">
        <f>D30-C30</f>
        <v>138471</v>
      </c>
      <c r="F30" s="15">
        <f>F29+'Cashflow '!D30</f>
        <v>25533</v>
      </c>
      <c r="G30" s="15">
        <f>94437+79</f>
        <v>94516</v>
      </c>
      <c r="H30" s="15">
        <v>44647</v>
      </c>
      <c r="I30" s="15">
        <f>G30+H30-C30-E30</f>
        <v>0</v>
      </c>
      <c r="J30" s="15">
        <f>C30-G30</f>
        <v>-93824</v>
      </c>
      <c r="K30" s="15"/>
    </row>
    <row r="31" ht="20.05" customHeight="1">
      <c r="B31" s="29"/>
      <c r="C31" s="14">
        <v>639</v>
      </c>
      <c r="D31" s="15">
        <v>140912</v>
      </c>
      <c r="E31" s="15">
        <f>D31-C31</f>
        <v>140273</v>
      </c>
      <c r="F31" s="15">
        <f>F30+'Cashflow '!D31</f>
        <v>25939</v>
      </c>
      <c r="G31" s="15">
        <v>95243</v>
      </c>
      <c r="H31" s="15">
        <f>D31-G31</f>
        <v>45669</v>
      </c>
      <c r="I31" s="15">
        <f>G31+H31-C31-E31</f>
        <v>0</v>
      </c>
      <c r="J31" s="15">
        <f>C31-G31</f>
        <v>-94604</v>
      </c>
      <c r="K31" s="39"/>
    </row>
    <row r="32" ht="20.05" customHeight="1">
      <c r="B32" s="33">
        <v>2022</v>
      </c>
      <c r="C32" s="14">
        <f>C31+'Cashflow '!F32+'Cashflow '!G32+'Cashflow '!J32</f>
        <v>2061</v>
      </c>
      <c r="D32" s="15">
        <v>144945</v>
      </c>
      <c r="E32" s="15">
        <f>D32-C32</f>
        <v>142884</v>
      </c>
      <c r="F32" s="15">
        <f>F31+'Cashflow '!D32</f>
        <v>29071</v>
      </c>
      <c r="G32" s="15">
        <v>100693</v>
      </c>
      <c r="H32" s="15">
        <f>D32-G32</f>
        <v>44252</v>
      </c>
      <c r="I32" s="15">
        <f>G32+H32-C32-E32</f>
        <v>0</v>
      </c>
      <c r="J32" s="15">
        <f>C32-G32</f>
        <v>-98632</v>
      </c>
      <c r="K32" s="15">
        <f>J32</f>
        <v>-98632</v>
      </c>
    </row>
    <row r="33" ht="20.05" customHeight="1">
      <c r="B33" s="29"/>
      <c r="C33" s="14"/>
      <c r="D33" s="15"/>
      <c r="E33" s="15"/>
      <c r="F33" s="15"/>
      <c r="G33" s="15"/>
      <c r="H33" s="15"/>
      <c r="I33" s="15"/>
      <c r="J33" s="15"/>
      <c r="K33" s="15">
        <f>'Model'!F31</f>
        <v>-100822.005189706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D2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7.1875" style="41" customWidth="1"/>
    <col min="2" max="4" width="10.7734" style="41" customWidth="1"/>
    <col min="5" max="16384" width="16.3516" style="41" customWidth="1"/>
  </cols>
  <sheetData>
    <row r="1" ht="27.65" customHeight="1">
      <c r="A1" t="s" s="2">
        <v>52</v>
      </c>
      <c r="B1" s="2"/>
      <c r="C1" s="2"/>
      <c r="D1" s="2"/>
    </row>
    <row r="2" ht="20.25" customHeight="1">
      <c r="A2" s="4"/>
      <c r="B2" t="s" s="3">
        <v>53</v>
      </c>
      <c r="C2" t="s" s="3">
        <v>54</v>
      </c>
      <c r="D2" t="s" s="3">
        <v>55</v>
      </c>
    </row>
    <row r="3" ht="20.25" customHeight="1">
      <c r="A3" s="25">
        <v>2018</v>
      </c>
      <c r="B3" s="42">
        <v>38.440128</v>
      </c>
      <c r="C3" s="38"/>
      <c r="D3" s="38"/>
    </row>
    <row r="4" ht="20.05" customHeight="1">
      <c r="A4" s="29"/>
      <c r="B4" s="22">
        <v>39.560703</v>
      </c>
      <c r="C4" s="15"/>
      <c r="D4" s="15"/>
    </row>
    <row r="5" ht="20.05" customHeight="1">
      <c r="A5" s="29"/>
      <c r="B5" s="22">
        <v>40.998714</v>
      </c>
      <c r="C5" s="15"/>
      <c r="D5" s="15"/>
    </row>
    <row r="6" ht="20.05" customHeight="1">
      <c r="A6" s="29"/>
      <c r="B6" s="22">
        <v>42.805691</v>
      </c>
      <c r="C6" s="15"/>
      <c r="D6" s="15"/>
    </row>
    <row r="7" ht="20.05" customHeight="1">
      <c r="A7" s="33">
        <v>2019</v>
      </c>
      <c r="B7" s="22">
        <v>46.814064</v>
      </c>
      <c r="C7" s="15"/>
      <c r="D7" s="15"/>
    </row>
    <row r="8" ht="20.05" customHeight="1">
      <c r="A8" s="29"/>
      <c r="B8" s="22">
        <v>50.19437</v>
      </c>
      <c r="C8" s="15"/>
      <c r="D8" s="15"/>
    </row>
    <row r="9" ht="20.05" customHeight="1">
      <c r="A9" s="29"/>
      <c r="B9" s="22">
        <v>58.070465</v>
      </c>
      <c r="C9" s="15"/>
      <c r="D9" s="15"/>
    </row>
    <row r="10" ht="20.05" customHeight="1">
      <c r="A10" s="29"/>
      <c r="B10" s="22">
        <v>65.69528200000001</v>
      </c>
      <c r="C10" s="15"/>
      <c r="D10" s="15"/>
    </row>
    <row r="11" ht="20.05" customHeight="1">
      <c r="A11" s="33">
        <v>2020</v>
      </c>
      <c r="B11" s="22">
        <v>56.908234</v>
      </c>
      <c r="C11" s="15"/>
      <c r="D11" s="15"/>
    </row>
    <row r="12" ht="20.05" customHeight="1">
      <c r="A12" s="29"/>
      <c r="B12" s="22">
        <v>69.49694100000001</v>
      </c>
      <c r="C12" s="15"/>
      <c r="D12" s="15"/>
    </row>
    <row r="13" ht="20.05" customHeight="1">
      <c r="A13" s="29"/>
      <c r="B13" s="22">
        <v>72.868256</v>
      </c>
      <c r="C13" s="15"/>
      <c r="D13" s="15"/>
    </row>
    <row r="14" ht="20.05" customHeight="1">
      <c r="A14" s="29"/>
      <c r="B14" s="14">
        <v>77.150002</v>
      </c>
      <c r="C14" s="43"/>
      <c r="D14" s="43"/>
    </row>
    <row r="15" ht="20.05" customHeight="1">
      <c r="A15" s="33">
        <v>2021</v>
      </c>
      <c r="B15" s="14">
        <v>75.610001</v>
      </c>
      <c r="C15" s="43"/>
      <c r="D15" s="43"/>
    </row>
    <row r="16" ht="20.05" customHeight="1">
      <c r="A16" s="29"/>
      <c r="B16" s="14">
        <v>73.28</v>
      </c>
      <c r="C16" s="43"/>
      <c r="D16" s="43"/>
    </row>
    <row r="17" ht="20.05" customHeight="1">
      <c r="A17" s="29"/>
      <c r="B17" s="14">
        <v>79.20999999999999</v>
      </c>
      <c r="C17" s="43"/>
      <c r="D17" s="43"/>
    </row>
    <row r="18" ht="20.05" customHeight="1">
      <c r="A18" s="29"/>
      <c r="B18" s="14">
        <v>93.36</v>
      </c>
      <c r="C18" s="43"/>
      <c r="D18" s="43"/>
    </row>
    <row r="19" ht="20.05" customHeight="1">
      <c r="A19" s="33">
        <v>2022</v>
      </c>
      <c r="B19" s="14">
        <v>84.70999999999999</v>
      </c>
      <c r="C19" s="39"/>
      <c r="D19" s="43">
        <v>63.1745321596645</v>
      </c>
    </row>
    <row r="20" ht="20.05" customHeight="1">
      <c r="A20" s="29"/>
      <c r="B20" s="14">
        <v>73.95</v>
      </c>
      <c r="C20" s="43">
        <f>B20</f>
        <v>73.95</v>
      </c>
      <c r="D20" s="43"/>
    </row>
    <row r="21" ht="20.05" customHeight="1">
      <c r="A21" s="29"/>
      <c r="B21" s="14"/>
      <c r="C21" s="43">
        <f>'Model'!F44</f>
        <v>66.2020338035709</v>
      </c>
      <c r="D21" s="43"/>
    </row>
  </sheetData>
  <mergeCells count="1">
    <mergeCell ref="A1:D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