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<sst xmlns="http://schemas.openxmlformats.org/spreadsheetml/2006/main" uniqueCount="59">
  <si>
    <t>Financial model</t>
  </si>
  <si>
    <t>Rpbn</t>
  </si>
  <si>
    <t>4Q 2022</t>
  </si>
  <si>
    <t xml:space="preserve">Cashflow </t>
  </si>
  <si>
    <t xml:space="preserve">Growth </t>
  </si>
  <si>
    <t>Sales</t>
  </si>
  <si>
    <t>Cost ratio</t>
  </si>
  <si>
    <t xml:space="preserve">Cash costs </t>
  </si>
  <si>
    <t xml:space="preserve">Operating </t>
  </si>
  <si>
    <t xml:space="preserve">Investment 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</si>
  <si>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</si>
  <si>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</si>
  <si>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</si>
  <si>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</si>
  <si>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</si>
  <si>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</si>
  <si>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</si>
  <si>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>Ending</t>
  </si>
  <si>
    <t xml:space="preserve">Profit </t>
  </si>
  <si>
    <t xml:space="preserve">Non cash costs </t>
  </si>
  <si>
    <t xml:space="preserve">Net profit </t>
  </si>
  <si>
    <t xml:space="preserve">Balance sheet </t>
  </si>
  <si>
    <t xml:space="preserve">Other asses </t>
  </si>
  <si>
    <t xml:space="preserve">Depreciation </t>
  </si>
  <si>
    <t xml:space="preserve">Net other assets 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</si>
  <si>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</si>
  <si>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</si>
  <si>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</si>
  <si>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</si>
  <si>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</si>
  <si>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</si>
  <si>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</si>
  <si>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</si>
  <si>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</si>
  <si>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>Forecast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</si>
  <si>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</si>
  <si>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</si>
  <si>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</si>
  <si>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</si>
  <si>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</si>
  <si>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</si>
  <si>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</si>
  <si>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Forecast </t>
  </si>
  <si>
    <t>FX gain (loss)</t>
  </si>
  <si>
    <t xml:space="preserve">Sales growth </t>
  </si>
  <si>
    <t xml:space="preserve">Cost ratio </t>
  </si>
  <si>
    <t>Cashflow costs</t>
  </si>
  <si>
    <t xml:space="preserve">Receipts </t>
  </si>
  <si>
    <t>Capex</t>
  </si>
  <si>
    <t xml:space="preserve">Finance </t>
  </si>
  <si>
    <t xml:space="preserve">Free cashflow </t>
  </si>
  <si>
    <t>Balance sheet</t>
  </si>
  <si>
    <t xml:space="preserve">Cash </t>
  </si>
  <si>
    <t>Assets</t>
  </si>
  <si>
    <t xml:space="preserve">Other assets </t>
  </si>
  <si>
    <t xml:space="preserve">Net cash </t>
  </si>
  <si>
    <t>Share price</t>
  </si>
  <si>
    <t>MYOR</t>
  </si>
  <si>
    <t>Previous target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</si>
</sst>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436429</xdr:colOff>
      <xdr:row>2</xdr:row>
      <xdr:rowOff>57968</xdr:rowOff>
    </xdr:from>
    <xdr:to>
      <xdr:col>13</xdr:col>
      <xdr:colOff>73953</xdr:colOff>
      <xdr:row>47</xdr:row>
      <xdr:rowOff>109591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186229" y="1287963"/>
          <a:ext cx="8349725" cy="1151527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91406" style="1" customWidth="1"/>
    <col min="2" max="2" width="15.1172" style="1" customWidth="1"/>
    <col min="3" max="6" width="9.3125" style="1" customWidth="1"/>
    <col min="7" max="16384" width="16.3516" style="1" customWidth="1"/>
  </cols>
  <sheetData>
    <row r="1" ht="69.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AVERAGE('Sales'!H28:H31)</f>
        <v>0.0511943374402145</v>
      </c>
      <c r="D4" s="8"/>
      <c r="E4" s="8"/>
      <c r="F4" s="9">
        <f>AVERAGE(C5:F5)</f>
        <v>0.025</v>
      </c>
    </row>
    <row r="5" ht="20.05" customHeight="1">
      <c r="B5" t="s" s="10">
        <v>4</v>
      </c>
      <c r="C5" s="11">
        <v>-0.05</v>
      </c>
      <c r="D5" s="12">
        <v>0.07000000000000001</v>
      </c>
      <c r="E5" s="12">
        <v>0.05</v>
      </c>
      <c r="F5" s="12">
        <v>0.03</v>
      </c>
    </row>
    <row r="6" ht="20.05" customHeight="1">
      <c r="B6" t="s" s="10">
        <v>5</v>
      </c>
      <c r="C6" s="13">
        <f>'Sales'!C31*(1+C5)</f>
        <v>7615.96</v>
      </c>
      <c r="D6" s="14">
        <f>C6*(1+D5)</f>
        <v>8149.0772</v>
      </c>
      <c r="E6" s="14">
        <f>D6*(1+E5)</f>
        <v>8556.531059999999</v>
      </c>
      <c r="F6" s="14">
        <f>E6*(1+F5)</f>
        <v>8813.2269918</v>
      </c>
    </row>
    <row r="7" ht="20.05" customHeight="1">
      <c r="B7" t="s" s="10">
        <v>6</v>
      </c>
      <c r="C7" s="11">
        <f>AVERAGE('Sales'!J30)</f>
        <v>-0.909260439857707</v>
      </c>
      <c r="D7" s="12">
        <f>C7</f>
        <v>-0.909260439857707</v>
      </c>
      <c r="E7" s="12">
        <f>D7</f>
        <v>-0.909260439857707</v>
      </c>
      <c r="F7" s="12">
        <f>E7</f>
        <v>-0.909260439857707</v>
      </c>
    </row>
    <row r="8" ht="20.05" customHeight="1">
      <c r="B8" t="s" s="10">
        <v>7</v>
      </c>
      <c r="C8" s="13">
        <f>C6*C7</f>
        <v>-6924.8911395387</v>
      </c>
      <c r="D8" s="15">
        <f>D6*D7</f>
        <v>-7409.633519306410</v>
      </c>
      <c r="E8" s="15">
        <f>E6*E7</f>
        <v>-7780.115195271730</v>
      </c>
      <c r="F8" s="15">
        <f>F6*F7</f>
        <v>-8013.518651129880</v>
      </c>
    </row>
    <row r="9" ht="20.05" customHeight="1">
      <c r="B9" t="s" s="10">
        <v>8</v>
      </c>
      <c r="C9" s="13">
        <f>C6+C8</f>
        <v>691.0688604613</v>
      </c>
      <c r="D9" s="15">
        <f>D6+D8</f>
        <v>739.443680693590</v>
      </c>
      <c r="E9" s="15">
        <f>E6+E8</f>
        <v>776.415864728270</v>
      </c>
      <c r="F9" s="15">
        <f>F6+F8</f>
        <v>799.708340670120</v>
      </c>
    </row>
    <row r="10" ht="20.05" customHeight="1">
      <c r="B10" t="s" s="10">
        <v>9</v>
      </c>
      <c r="C10" s="13">
        <f>AVERAGE('Cashflow'!F28:F31)</f>
        <v>-236.9</v>
      </c>
      <c r="D10" s="15">
        <f>C10</f>
        <v>-236.9</v>
      </c>
      <c r="E10" s="15">
        <f>D10</f>
        <v>-236.9</v>
      </c>
      <c r="F10" s="15">
        <f>E10</f>
        <v>-236.9</v>
      </c>
    </row>
    <row r="11" ht="20.05" customHeight="1">
      <c r="B11" t="s" s="10">
        <v>10</v>
      </c>
      <c r="C11" s="13">
        <f>C12+C13+C15</f>
        <v>-454.1688604613</v>
      </c>
      <c r="D11" s="15">
        <f>D12+D13+D15</f>
        <v>-502.543680693590</v>
      </c>
      <c r="E11" s="15">
        <f>E12+E13+E15</f>
        <v>-539.515864728270</v>
      </c>
      <c r="F11" s="15">
        <f>F12+F13+F15</f>
        <v>-562.8083406701199</v>
      </c>
    </row>
    <row r="12" ht="20.05" customHeight="1">
      <c r="B12" t="s" s="10">
        <v>11</v>
      </c>
      <c r="C12" s="13">
        <f>-('Balance sheet'!G27)/20</f>
        <v>-427.9</v>
      </c>
      <c r="D12" s="15">
        <f>-C26/20</f>
        <v>-406.505</v>
      </c>
      <c r="E12" s="15">
        <f>-D26/20</f>
        <v>-386.17975</v>
      </c>
      <c r="F12" s="15">
        <f>-E26/20</f>
        <v>-366.8707625</v>
      </c>
    </row>
    <row r="13" ht="20.05" customHeight="1">
      <c r="B13" t="s" s="10">
        <v>12</v>
      </c>
      <c r="C13" s="13">
        <f>IF(C21&gt;0,-C21*0.6,0)</f>
        <v>-287.381316276780</v>
      </c>
      <c r="D13" s="15">
        <f>IF(D21&gt;0,-D21*0.6,0)</f>
        <v>-316.406208416154</v>
      </c>
      <c r="E13" s="15">
        <f>IF(E21&gt;0,-E21*0.6,0)</f>
        <v>-338.589518836962</v>
      </c>
      <c r="F13" s="15">
        <f>IF(F21&gt;0,-F21*0.6,0)</f>
        <v>-352.565004402072</v>
      </c>
    </row>
    <row r="14" ht="20.05" customHeight="1">
      <c r="B14" t="s" s="10">
        <v>13</v>
      </c>
      <c r="C14" s="13">
        <f>C9+C10+C12+C13</f>
        <v>-261.112455815480</v>
      </c>
      <c r="D14" s="15">
        <f>D9+D10+D12+D13</f>
        <v>-220.367527722564</v>
      </c>
      <c r="E14" s="15">
        <f>E9+E10+E12+E13</f>
        <v>-185.253404108692</v>
      </c>
      <c r="F14" s="15">
        <f>F9+F10+F12+F13</f>
        <v>-156.627426231952</v>
      </c>
    </row>
    <row r="15" ht="20.05" customHeight="1">
      <c r="B15" t="s" s="10">
        <v>14</v>
      </c>
      <c r="C15" s="13">
        <f>-MIN(0,C14)</f>
        <v>261.112455815480</v>
      </c>
      <c r="D15" s="15">
        <f>-MIN(C27,D14)</f>
        <v>220.367527722564</v>
      </c>
      <c r="E15" s="15">
        <f>-MIN(D27,E14)</f>
        <v>185.253404108692</v>
      </c>
      <c r="F15" s="15">
        <f>-MIN(E27,F14)</f>
        <v>156.627426231952</v>
      </c>
    </row>
    <row r="16" ht="20.05" customHeight="1">
      <c r="B16" t="s" s="10">
        <v>15</v>
      </c>
      <c r="C16" s="13">
        <f>'Balance sheet'!C27</f>
        <v>3009</v>
      </c>
      <c r="D16" s="15">
        <f>C18</f>
        <v>3009</v>
      </c>
      <c r="E16" s="15">
        <f>D18</f>
        <v>3009</v>
      </c>
      <c r="F16" s="15">
        <f>E18</f>
        <v>3009</v>
      </c>
    </row>
    <row r="17" ht="20.05" customHeight="1">
      <c r="B17" t="s" s="10">
        <v>16</v>
      </c>
      <c r="C17" s="13">
        <f>C9+C10+C11</f>
        <v>0</v>
      </c>
      <c r="D17" s="15">
        <f>D9+D10+D11</f>
        <v>0</v>
      </c>
      <c r="E17" s="15">
        <f>E9+E10+E11</f>
        <v>0</v>
      </c>
      <c r="F17" s="15">
        <f>F9+F10+F11</f>
        <v>0</v>
      </c>
    </row>
    <row r="18" ht="20.05" customHeight="1">
      <c r="B18" t="s" s="10">
        <v>17</v>
      </c>
      <c r="C18" s="13">
        <f>C16+C17</f>
        <v>3009</v>
      </c>
      <c r="D18" s="15">
        <f>D16+D17</f>
        <v>3009</v>
      </c>
      <c r="E18" s="15">
        <f>E16+E17</f>
        <v>3009</v>
      </c>
      <c r="F18" s="15">
        <f>F16+F17</f>
        <v>3009</v>
      </c>
    </row>
    <row r="19" ht="20.05" customHeight="1">
      <c r="B19" t="s" s="16">
        <v>18</v>
      </c>
      <c r="C19" s="17"/>
      <c r="D19" s="18"/>
      <c r="E19" s="18"/>
      <c r="F19" s="19"/>
    </row>
    <row r="20" ht="20.05" customHeight="1">
      <c r="B20" t="s" s="10">
        <v>19</v>
      </c>
      <c r="C20" s="20">
        <f>-AVERAGE('Sales'!E31)</f>
        <v>-212.1</v>
      </c>
      <c r="D20" s="21">
        <f>C20</f>
        <v>-212.1</v>
      </c>
      <c r="E20" s="21">
        <f>D20</f>
        <v>-212.1</v>
      </c>
      <c r="F20" s="21">
        <f>E20</f>
        <v>-212.1</v>
      </c>
    </row>
    <row r="21" ht="20.05" customHeight="1">
      <c r="B21" t="s" s="10">
        <v>20</v>
      </c>
      <c r="C21" s="20">
        <f>C6+C8+C20</f>
        <v>478.9688604613</v>
      </c>
      <c r="D21" s="21">
        <f>D6+D8+D20</f>
        <v>527.343680693590</v>
      </c>
      <c r="E21" s="21">
        <f>E6+E8+E20</f>
        <v>564.315864728270</v>
      </c>
      <c r="F21" s="21">
        <f>F6+F8+F20</f>
        <v>587.608340670120</v>
      </c>
    </row>
    <row r="22" ht="20.05" customHeight="1">
      <c r="B22" t="s" s="16">
        <v>21</v>
      </c>
      <c r="C22" s="17"/>
      <c r="D22" s="18"/>
      <c r="E22" s="18"/>
      <c r="F22" s="18"/>
    </row>
    <row r="23" ht="20.05" customHeight="1">
      <c r="B23" t="s" s="10">
        <v>22</v>
      </c>
      <c r="C23" s="13">
        <f>'Balance sheet'!E27+'Balance sheet'!F27-C10</f>
        <v>23696.9</v>
      </c>
      <c r="D23" s="15">
        <f>C23-D10</f>
        <v>23933.8</v>
      </c>
      <c r="E23" s="15">
        <f>D23-E10</f>
        <v>24170.7</v>
      </c>
      <c r="F23" s="15">
        <f>E23-F10</f>
        <v>24407.6</v>
      </c>
    </row>
    <row r="24" ht="20.05" customHeight="1">
      <c r="B24" t="s" s="10">
        <v>23</v>
      </c>
      <c r="C24" s="13">
        <f>'Balance sheet'!F27-C20</f>
        <v>6763.1</v>
      </c>
      <c r="D24" s="15">
        <f>C24-D20</f>
        <v>6975.2</v>
      </c>
      <c r="E24" s="15">
        <f>D24-E20</f>
        <v>7187.3</v>
      </c>
      <c r="F24" s="15">
        <f>E24-F20</f>
        <v>7399.4</v>
      </c>
    </row>
    <row r="25" ht="20.05" customHeight="1">
      <c r="B25" t="s" s="10">
        <v>24</v>
      </c>
      <c r="C25" s="13">
        <f>C23-C24</f>
        <v>16933.8</v>
      </c>
      <c r="D25" s="15">
        <f>D23-D24</f>
        <v>16958.6</v>
      </c>
      <c r="E25" s="15">
        <f>E23-E24</f>
        <v>16983.4</v>
      </c>
      <c r="F25" s="15">
        <f>F23-F24</f>
        <v>17008.2</v>
      </c>
    </row>
    <row r="26" ht="20.05" customHeight="1">
      <c r="B26" t="s" s="10">
        <v>11</v>
      </c>
      <c r="C26" s="13">
        <f>'Balance sheet'!G27+C12</f>
        <v>8130.1</v>
      </c>
      <c r="D26" s="15">
        <f>C26+D12</f>
        <v>7723.595</v>
      </c>
      <c r="E26" s="15">
        <f>D26+E12</f>
        <v>7337.41525</v>
      </c>
      <c r="F26" s="15">
        <f>E26+F12</f>
        <v>6970.5444875</v>
      </c>
    </row>
    <row r="27" ht="20.05" customHeight="1">
      <c r="B27" t="s" s="10">
        <v>14</v>
      </c>
      <c r="C27" s="13">
        <f>C15</f>
        <v>261.112455815480</v>
      </c>
      <c r="D27" s="15">
        <f>C27+D15</f>
        <v>481.479983538044</v>
      </c>
      <c r="E27" s="15">
        <f>D27+E15</f>
        <v>666.733387646736</v>
      </c>
      <c r="F27" s="15">
        <f>E27+F15</f>
        <v>823.360813878688</v>
      </c>
    </row>
    <row r="28" ht="20.05" customHeight="1">
      <c r="B28" t="s" s="10">
        <v>12</v>
      </c>
      <c r="C28" s="13">
        <f>'Balance sheet'!H27+C13+C21</f>
        <v>11551.5875441845</v>
      </c>
      <c r="D28" s="15">
        <f>C28+D13+D21</f>
        <v>11762.5250164619</v>
      </c>
      <c r="E28" s="15">
        <f>D28+E13+E21</f>
        <v>11988.2513623532</v>
      </c>
      <c r="F28" s="15">
        <f>E28+F13+F21</f>
        <v>12223.2946986212</v>
      </c>
    </row>
    <row r="29" ht="20.05" customHeight="1">
      <c r="B29" t="s" s="10">
        <v>25</v>
      </c>
      <c r="C29" s="13">
        <f>C26+C27+C28-C18-C25</f>
        <v>-2e-11</v>
      </c>
      <c r="D29" s="15">
        <f>D26+D27+D28-D18-D25</f>
        <v>-5.6e-11</v>
      </c>
      <c r="E29" s="15">
        <f>E26+E27+E28-E18-E25</f>
        <v>-6.4e-11</v>
      </c>
      <c r="F29" s="15">
        <f>F26+F27+F28-F18-F25</f>
        <v>-1.12e-10</v>
      </c>
    </row>
    <row r="30" ht="20.05" customHeight="1">
      <c r="B30" t="s" s="10">
        <v>26</v>
      </c>
      <c r="C30" s="13">
        <f>C18-C26-C27</f>
        <v>-5382.212455815480</v>
      </c>
      <c r="D30" s="15">
        <f>D18-D26-D27</f>
        <v>-5196.074983538040</v>
      </c>
      <c r="E30" s="15">
        <f>E18-E26-E27</f>
        <v>-4995.148637646740</v>
      </c>
      <c r="F30" s="15">
        <f>F18-F26-F27</f>
        <v>-4784.905301378690</v>
      </c>
    </row>
    <row r="31" ht="20.05" customHeight="1">
      <c r="B31" t="s" s="16">
        <v>27</v>
      </c>
      <c r="C31" s="13"/>
      <c r="D31" s="15"/>
      <c r="E31" s="15"/>
      <c r="F31" s="15"/>
    </row>
    <row r="32" ht="20.05" customHeight="1">
      <c r="B32" t="s" s="10">
        <v>28</v>
      </c>
      <c r="C32" s="13">
        <f>'Cashflow'!M31-C11</f>
        <v>4172.6688604613</v>
      </c>
      <c r="D32" s="15">
        <f>C32-D11</f>
        <v>4675.212541154890</v>
      </c>
      <c r="E32" s="15">
        <f>D32-E11</f>
        <v>5214.728405883160</v>
      </c>
      <c r="F32" s="15">
        <f>E32-F11</f>
        <v>5777.536746553280</v>
      </c>
    </row>
    <row r="33" ht="20.05" customHeight="1">
      <c r="B33" t="s" s="10">
        <v>29</v>
      </c>
      <c r="C33" s="13"/>
      <c r="D33" s="15"/>
      <c r="E33" s="15"/>
      <c r="F33" s="15">
        <v>39351312449536</v>
      </c>
    </row>
    <row r="34" ht="20.05" customHeight="1">
      <c r="B34" t="s" s="10">
        <v>29</v>
      </c>
      <c r="C34" s="13"/>
      <c r="D34" s="15"/>
      <c r="E34" s="15"/>
      <c r="F34" s="15">
        <f>F33/1000000000</f>
        <v>39351.312449536</v>
      </c>
    </row>
    <row r="35" ht="20.05" customHeight="1">
      <c r="B35" t="s" s="22">
        <v>30</v>
      </c>
      <c r="C35" s="13"/>
      <c r="D35" s="15"/>
      <c r="E35" s="15"/>
      <c r="F35" s="23">
        <f>F34/(F18+F25)</f>
        <v>1.9658749700026</v>
      </c>
    </row>
    <row r="36" ht="20.05" customHeight="1">
      <c r="B36" t="s" s="22">
        <v>31</v>
      </c>
      <c r="C36" s="13"/>
      <c r="D36" s="15"/>
      <c r="E36" s="15"/>
      <c r="F36" s="12">
        <f>-(C13+D13+E13+F13)/F34</f>
        <v>0.0329072136943996</v>
      </c>
    </row>
    <row r="37" ht="20.05" customHeight="1">
      <c r="B37" t="s" s="22">
        <v>32</v>
      </c>
      <c r="C37" s="13"/>
      <c r="D37" s="15"/>
      <c r="E37" s="15"/>
      <c r="F37" s="15">
        <f>SUM(C9:F10)</f>
        <v>2059.036746553280</v>
      </c>
    </row>
    <row r="38" ht="20.05" customHeight="1">
      <c r="B38" t="s" s="22">
        <v>33</v>
      </c>
      <c r="C38" s="13"/>
      <c r="D38" s="15"/>
      <c r="E38" s="15"/>
      <c r="F38" s="15">
        <f>'Balance sheet'!E27/F37</f>
        <v>8.212092391408159</v>
      </c>
    </row>
    <row r="39" ht="20.05" customHeight="1">
      <c r="B39" t="s" s="22">
        <v>27</v>
      </c>
      <c r="C39" s="13"/>
      <c r="D39" s="15"/>
      <c r="E39" s="15"/>
      <c r="F39" s="15">
        <f>F34/F37</f>
        <v>19.1115153799018</v>
      </c>
    </row>
    <row r="40" ht="20.05" customHeight="1">
      <c r="B40" t="s" s="22">
        <v>34</v>
      </c>
      <c r="C40" s="13"/>
      <c r="D40" s="15"/>
      <c r="E40" s="15"/>
      <c r="F40" s="15">
        <v>25</v>
      </c>
    </row>
    <row r="41" ht="20.05" customHeight="1">
      <c r="B41" t="s" s="22">
        <v>35</v>
      </c>
      <c r="C41" s="13"/>
      <c r="D41" s="15"/>
      <c r="E41" s="15"/>
      <c r="F41" s="15">
        <f>F37*F40</f>
        <v>51475.918663832</v>
      </c>
    </row>
    <row r="42" ht="20.05" customHeight="1">
      <c r="B42" t="s" s="22">
        <v>36</v>
      </c>
      <c r="C42" s="13"/>
      <c r="D42" s="15"/>
      <c r="E42" s="15"/>
      <c r="F42" s="15">
        <f>F34/F44</f>
        <v>22.3587002554182</v>
      </c>
    </row>
    <row r="43" ht="20.05" customHeight="1">
      <c r="B43" t="s" s="22">
        <v>37</v>
      </c>
      <c r="C43" s="13"/>
      <c r="D43" s="15"/>
      <c r="E43" s="15"/>
      <c r="F43" s="15">
        <f>F41/F42</f>
        <v>2302.276879952260</v>
      </c>
    </row>
    <row r="44" ht="20.05" customHeight="1">
      <c r="B44" t="s" s="22">
        <v>38</v>
      </c>
      <c r="C44" s="13"/>
      <c r="D44" s="15"/>
      <c r="E44" s="15"/>
      <c r="F44" s="15">
        <v>1760</v>
      </c>
    </row>
    <row r="45" ht="20.05" customHeight="1">
      <c r="B45" t="s" s="22">
        <v>39</v>
      </c>
      <c r="C45" s="13"/>
      <c r="D45" s="15"/>
      <c r="E45" s="15"/>
      <c r="F45" s="12">
        <f>F43/F44-1</f>
        <v>0.308111863609239</v>
      </c>
    </row>
    <row r="46" ht="20.05" customHeight="1">
      <c r="B46" t="s" s="22">
        <v>40</v>
      </c>
      <c r="C46" s="13"/>
      <c r="D46" s="15"/>
      <c r="E46" s="15"/>
      <c r="F46" s="12">
        <f>'Sales'!C31/'Sales'!C27-1</f>
        <v>0.162529002320186</v>
      </c>
    </row>
    <row r="47" ht="20.05" customHeight="1">
      <c r="B47" t="s" s="22">
        <v>41</v>
      </c>
      <c r="C47" s="13"/>
      <c r="D47" s="15"/>
      <c r="E47" s="15"/>
      <c r="F47" s="12">
        <f>('Sales'!D23+'Sales'!D31+'Sales'!D24+'Sales'!D25+'Sales'!D26+'Sales'!D27+'Sales'!D28+'Sales'!D29+'Sales'!D30)/('Sales'!C23+'Sales'!C24+'Sales'!C25+'Sales'!C26+'Sales'!C27+'Sales'!C28+'Sales'!C29+'Sales'!C31+'Sales'!C30)-1</f>
        <v>0.0038888767403485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02344" style="24" customWidth="1"/>
    <col min="2" max="2" width="6.5" style="24" customWidth="1"/>
    <col min="3" max="12" width="10.4375" style="24" customWidth="1"/>
    <col min="13" max="16384" width="16.3516" style="24" customWidth="1"/>
  </cols>
  <sheetData>
    <row r="1" ht="22.0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5">
        <v>1</v>
      </c>
      <c r="C3" t="s" s="5">
        <v>5</v>
      </c>
      <c r="D3" t="s" s="5">
        <v>42</v>
      </c>
      <c r="E3" t="s" s="5">
        <v>23</v>
      </c>
      <c r="F3" t="s" s="5">
        <v>43</v>
      </c>
      <c r="G3" t="s" s="5">
        <v>18</v>
      </c>
      <c r="H3" t="s" s="5">
        <v>44</v>
      </c>
      <c r="I3" t="s" s="5">
        <v>45</v>
      </c>
      <c r="J3" t="s" s="5">
        <v>45</v>
      </c>
      <c r="K3" t="s" s="5">
        <v>42</v>
      </c>
      <c r="L3" t="s" s="5">
        <v>46</v>
      </c>
    </row>
    <row r="4" ht="20.25" customHeight="1">
      <c r="B4" s="25">
        <v>2015</v>
      </c>
      <c r="C4" s="26">
        <v>3446</v>
      </c>
      <c r="D4" s="27"/>
      <c r="E4" s="28"/>
      <c r="F4" s="28"/>
      <c r="G4" s="29">
        <v>280</v>
      </c>
      <c r="H4" s="30"/>
      <c r="I4" s="9">
        <f>(E4+G4-F4-C4)/C4</f>
        <v>-0.91874637260592</v>
      </c>
      <c r="J4" s="9"/>
      <c r="K4" s="9"/>
      <c r="L4" s="9"/>
    </row>
    <row r="5" ht="20.05" customHeight="1">
      <c r="B5" s="31"/>
      <c r="C5" s="13">
        <v>4094</v>
      </c>
      <c r="D5" s="18"/>
      <c r="E5" s="15"/>
      <c r="F5" s="15"/>
      <c r="G5" s="14">
        <v>329</v>
      </c>
      <c r="H5" s="12">
        <f>C5/C4-1</f>
        <v>0.188044109112014</v>
      </c>
      <c r="I5" s="12">
        <f>(E5+G5-F5-C5)/C5</f>
        <v>-0.9196384953590619</v>
      </c>
      <c r="J5" s="12"/>
      <c r="K5" s="12"/>
      <c r="L5" s="12"/>
    </row>
    <row r="6" ht="20.05" customHeight="1">
      <c r="B6" s="31"/>
      <c r="C6" s="13">
        <v>3151</v>
      </c>
      <c r="D6" s="18"/>
      <c r="E6" s="15"/>
      <c r="F6" s="15"/>
      <c r="G6" s="14">
        <v>284</v>
      </c>
      <c r="H6" s="12">
        <f>C6/C5-1</f>
        <v>-0.230337078651685</v>
      </c>
      <c r="I6" s="12">
        <f>(E6+G6-F6-C6)/C6</f>
        <v>-0.90986988257696</v>
      </c>
      <c r="J6" s="12"/>
      <c r="K6" s="12"/>
      <c r="L6" s="12"/>
    </row>
    <row r="7" ht="20.05" customHeight="1">
      <c r="B7" s="31"/>
      <c r="C7" s="13">
        <v>4128</v>
      </c>
      <c r="D7" s="18"/>
      <c r="E7" s="15"/>
      <c r="F7" s="15"/>
      <c r="G7" s="14">
        <v>357</v>
      </c>
      <c r="H7" s="12">
        <f>C7/C6-1</f>
        <v>0.310060298317994</v>
      </c>
      <c r="I7" s="12">
        <f>(E7+G7-F7-C7)/C7</f>
        <v>-0.913517441860465</v>
      </c>
      <c r="J7" s="12"/>
      <c r="K7" s="12"/>
      <c r="L7" s="12"/>
    </row>
    <row r="8" ht="20.05" customHeight="1">
      <c r="B8" s="32">
        <v>2016</v>
      </c>
      <c r="C8" s="13">
        <v>4681</v>
      </c>
      <c r="D8" s="18"/>
      <c r="E8" s="15"/>
      <c r="F8" s="15"/>
      <c r="G8" s="14">
        <v>329</v>
      </c>
      <c r="H8" s="12">
        <f>C8/C7-1</f>
        <v>0.133963178294574</v>
      </c>
      <c r="I8" s="12">
        <f>(E8+G8-F8-C8)/C8</f>
        <v>-0.929715872676778</v>
      </c>
      <c r="J8" s="12"/>
      <c r="K8" s="12"/>
      <c r="L8" s="12">
        <f>('Cashflow'!D8-'Cashflow'!C8)/'Cashflow'!C8</f>
        <v>-1.01133650112159</v>
      </c>
    </row>
    <row r="9" ht="20.05" customHeight="1">
      <c r="B9" s="31"/>
      <c r="C9" s="13">
        <v>4595</v>
      </c>
      <c r="D9" s="18"/>
      <c r="E9" s="15"/>
      <c r="F9" s="15"/>
      <c r="G9" s="14">
        <v>278</v>
      </c>
      <c r="H9" s="12">
        <f>C9/C8-1</f>
        <v>-0.0183721427045503</v>
      </c>
      <c r="I9" s="12">
        <f>(E9+G9-F9-C9)/C9</f>
        <v>-0.939499455930359</v>
      </c>
      <c r="J9" s="12"/>
      <c r="K9" s="12"/>
      <c r="L9" s="12">
        <f>('Cashflow'!D9-'Cashflow'!C9)/'Cashflow'!C9</f>
        <v>-1.07856540458964</v>
      </c>
    </row>
    <row r="10" ht="20.05" customHeight="1">
      <c r="B10" s="31"/>
      <c r="C10" s="13">
        <v>4039</v>
      </c>
      <c r="D10" s="18"/>
      <c r="E10" s="15"/>
      <c r="F10" s="15"/>
      <c r="G10" s="14">
        <v>314</v>
      </c>
      <c r="H10" s="12">
        <f>C10/C9-1</f>
        <v>-0.121001088139282</v>
      </c>
      <c r="I10" s="12">
        <f>(E10+G10-F10-C10)/C10</f>
        <v>-0.922257984649666</v>
      </c>
      <c r="J10" s="12"/>
      <c r="K10" s="12"/>
      <c r="L10" s="12">
        <f>('Cashflow'!D10-'Cashflow'!C10)/'Cashflow'!C10</f>
        <v>-0.898581014189858</v>
      </c>
    </row>
    <row r="11" ht="20.05" customHeight="1">
      <c r="B11" s="31"/>
      <c r="C11" s="13">
        <v>5035</v>
      </c>
      <c r="D11" s="18"/>
      <c r="E11" s="15"/>
      <c r="F11" s="15"/>
      <c r="G11" s="14">
        <v>468</v>
      </c>
      <c r="H11" s="12">
        <f>C11/C10-1</f>
        <v>0.246595692002971</v>
      </c>
      <c r="I11" s="12">
        <f>(E11+G11-F11-C11)/C11</f>
        <v>-0.9070506454816289</v>
      </c>
      <c r="J11" s="12"/>
      <c r="K11" s="12"/>
      <c r="L11" s="12">
        <f>('Cashflow'!D11-'Cashflow'!C11)/'Cashflow'!C11</f>
        <v>-0.855961140768528</v>
      </c>
    </row>
    <row r="12" ht="20.05" customHeight="1">
      <c r="B12" s="32">
        <v>2017</v>
      </c>
      <c r="C12" s="13">
        <v>4980</v>
      </c>
      <c r="D12" s="18"/>
      <c r="E12" s="15">
        <v>133</v>
      </c>
      <c r="F12" s="15"/>
      <c r="G12" s="14">
        <v>367</v>
      </c>
      <c r="H12" s="12">
        <f>C12/C11-1</f>
        <v>-0.0109235352532274</v>
      </c>
      <c r="I12" s="12">
        <f>(E12+G12-F12-C12)/C12</f>
        <v>-0.8995983935742971</v>
      </c>
      <c r="J12" s="12">
        <f>AVERAGE(I9:I12)</f>
        <v>-0.917101619908988</v>
      </c>
      <c r="K12" s="12"/>
      <c r="L12" s="12">
        <f>('Cashflow'!D12-'Cashflow'!C12)/'Cashflow'!C12</f>
        <v>-1.04057318417411</v>
      </c>
    </row>
    <row r="13" ht="20.05" customHeight="1">
      <c r="B13" s="31"/>
      <c r="C13" s="13">
        <v>4410</v>
      </c>
      <c r="D13" s="18"/>
      <c r="E13" s="15">
        <v>134</v>
      </c>
      <c r="F13" s="15"/>
      <c r="G13" s="14">
        <v>195</v>
      </c>
      <c r="H13" s="12">
        <f>C13/C12-1</f>
        <v>-0.114457831325301</v>
      </c>
      <c r="I13" s="12">
        <f>(E13+G13-F13-C13)/C13</f>
        <v>-0.925396825396825</v>
      </c>
      <c r="J13" s="12">
        <f>AVERAGE(I10:I13)</f>
        <v>-0.913575962275604</v>
      </c>
      <c r="K13" s="12"/>
      <c r="L13" s="12">
        <f>('Cashflow'!D13-'Cashflow'!C13)/'Cashflow'!C13</f>
        <v>-0.999369376944421</v>
      </c>
    </row>
    <row r="14" ht="20.05" customHeight="1">
      <c r="B14" s="31"/>
      <c r="C14" s="13">
        <v>4909</v>
      </c>
      <c r="D14" s="18"/>
      <c r="E14" s="15">
        <v>135</v>
      </c>
      <c r="F14" s="15"/>
      <c r="G14" s="14">
        <v>389</v>
      </c>
      <c r="H14" s="12">
        <f>C14/C13-1</f>
        <v>0.113151927437642</v>
      </c>
      <c r="I14" s="12">
        <f>(E14+G14-F14-C14)/C14</f>
        <v>-0.893257282542269</v>
      </c>
      <c r="J14" s="12">
        <f>AVERAGE(I11:I14)</f>
        <v>-0.906325786748755</v>
      </c>
      <c r="K14" s="12"/>
      <c r="L14" s="12">
        <f>('Cashflow'!D14-'Cashflow'!C14)/'Cashflow'!C14</f>
        <v>-0.8672510695411459</v>
      </c>
    </row>
    <row r="15" ht="20.05" customHeight="1">
      <c r="B15" s="31"/>
      <c r="C15" s="13">
        <v>6518</v>
      </c>
      <c r="D15" s="18"/>
      <c r="E15" s="15">
        <v>137</v>
      </c>
      <c r="F15" s="15"/>
      <c r="G15" s="14">
        <v>680</v>
      </c>
      <c r="H15" s="12">
        <f>C15/C14-1</f>
        <v>0.327765328987574</v>
      </c>
      <c r="I15" s="12">
        <f>(E15+G15-F15-C15)/C15</f>
        <v>-0.87465480208653</v>
      </c>
      <c r="J15" s="12">
        <f>AVERAGE(I12:I15)</f>
        <v>-0.89822682589998</v>
      </c>
      <c r="K15" s="12"/>
      <c r="L15" s="12">
        <f>('Cashflow'!D15-'Cashflow'!C15)/'Cashflow'!C15</f>
        <v>-0.846973347387442</v>
      </c>
    </row>
    <row r="16" ht="20.05" customHeight="1">
      <c r="B16" s="32">
        <v>2018</v>
      </c>
      <c r="C16" s="13">
        <v>5415</v>
      </c>
      <c r="D16" s="18"/>
      <c r="E16" s="15">
        <v>138</v>
      </c>
      <c r="F16" s="15">
        <v>98</v>
      </c>
      <c r="G16" s="14">
        <v>478</v>
      </c>
      <c r="H16" s="12">
        <f>C16/C15-1</f>
        <v>-0.169223688247929</v>
      </c>
      <c r="I16" s="12">
        <f>(E16+G16-F16-C16)/C16</f>
        <v>-0.904339796860572</v>
      </c>
      <c r="J16" s="12">
        <f>AVERAGE(I13:I16)</f>
        <v>-0.8994121767215491</v>
      </c>
      <c r="K16" s="12"/>
      <c r="L16" s="12">
        <f>('Cashflow'!D16-'Cashflow'!C16)/'Cashflow'!C16</f>
        <v>-1.11214194809746</v>
      </c>
    </row>
    <row r="17" ht="20.05" customHeight="1">
      <c r="B17" s="31"/>
      <c r="C17" s="13">
        <v>5402</v>
      </c>
      <c r="D17" s="18"/>
      <c r="E17" s="15">
        <v>140</v>
      </c>
      <c r="F17" s="15">
        <v>58</v>
      </c>
      <c r="G17" s="14">
        <v>277</v>
      </c>
      <c r="H17" s="12">
        <f>C17/C16-1</f>
        <v>-0.00240073868882733</v>
      </c>
      <c r="I17" s="12">
        <f>(E17+G17-F17-C17)/C17</f>
        <v>-0.933543132173269</v>
      </c>
      <c r="J17" s="12">
        <f>AVERAGE(I14:I17)</f>
        <v>-0.90144875341566</v>
      </c>
      <c r="K17" s="12"/>
      <c r="L17" s="12">
        <f>('Cashflow'!D17-'Cashflow'!C17)/'Cashflow'!C17</f>
        <v>-1.06583848779389</v>
      </c>
    </row>
    <row r="18" ht="20.05" customHeight="1">
      <c r="B18" s="31"/>
      <c r="C18" s="13">
        <v>6533</v>
      </c>
      <c r="D18" s="18"/>
      <c r="E18" s="15">
        <v>139</v>
      </c>
      <c r="F18" s="15">
        <v>138</v>
      </c>
      <c r="G18" s="14">
        <v>373</v>
      </c>
      <c r="H18" s="12">
        <f>C18/C17-1</f>
        <v>0.209366901147723</v>
      </c>
      <c r="I18" s="12">
        <f>(E18+G18-F18-C18)/C18</f>
        <v>-0.9427521812337361</v>
      </c>
      <c r="J18" s="12">
        <f>AVERAGE(I15:I18)</f>
        <v>-0.913822478088527</v>
      </c>
      <c r="K18" s="12"/>
      <c r="L18" s="12">
        <f>('Cashflow'!D18-'Cashflow'!C18)/'Cashflow'!C18</f>
        <v>-1.08940367387567</v>
      </c>
    </row>
    <row r="19" ht="20.05" customHeight="1">
      <c r="B19" s="31"/>
      <c r="C19" s="13">
        <v>6711</v>
      </c>
      <c r="D19" s="18"/>
      <c r="E19" s="15">
        <v>132</v>
      </c>
      <c r="F19" s="15">
        <v>-130</v>
      </c>
      <c r="G19" s="14">
        <v>632</v>
      </c>
      <c r="H19" s="12">
        <f>C19/C18-1</f>
        <v>0.0272462880759222</v>
      </c>
      <c r="I19" s="12">
        <f>(E19+G19-F19-C19)/C19</f>
        <v>-0.86678587393831</v>
      </c>
      <c r="J19" s="12">
        <f>AVERAGE(I16:I19)</f>
        <v>-0.9118552460514719</v>
      </c>
      <c r="K19" s="12"/>
      <c r="L19" s="12">
        <f>('Cashflow'!D19-'Cashflow'!C19)/'Cashflow'!C19</f>
        <v>-0.721204808893868</v>
      </c>
    </row>
    <row r="20" ht="20.05" customHeight="1">
      <c r="B20" s="32">
        <v>2019</v>
      </c>
      <c r="C20" s="13">
        <v>6013.7</v>
      </c>
      <c r="D20" s="18"/>
      <c r="E20" s="15">
        <v>145.3</v>
      </c>
      <c r="F20" s="15">
        <v>-62</v>
      </c>
      <c r="G20" s="14">
        <v>478</v>
      </c>
      <c r="H20" s="12">
        <f>C20/C19-1</f>
        <v>-0.103904038146327</v>
      </c>
      <c r="I20" s="12">
        <f>(E20+G20-F20-C20)/C20</f>
        <v>-0.886043533930858</v>
      </c>
      <c r="J20" s="12">
        <f>AVERAGE(I17:I20)</f>
        <v>-0.907281180319043</v>
      </c>
      <c r="K20" s="12"/>
      <c r="L20" s="12">
        <f>('Cashflow'!D20-'Cashflow'!C20)/'Cashflow'!C20</f>
        <v>-0.867162215030053</v>
      </c>
    </row>
    <row r="21" ht="20.05" customHeight="1">
      <c r="B21" s="31"/>
      <c r="C21" s="13">
        <v>6045.3</v>
      </c>
      <c r="D21" s="18"/>
      <c r="E21" s="15">
        <v>145.7</v>
      </c>
      <c r="F21" s="18">
        <v>-42</v>
      </c>
      <c r="G21" s="14">
        <v>356</v>
      </c>
      <c r="H21" s="12">
        <f>C21/C20-1</f>
        <v>0.00525466850690922</v>
      </c>
      <c r="I21" s="12">
        <f>(E21+G21-F21-C21)/C21</f>
        <v>-0.910062362496485</v>
      </c>
      <c r="J21" s="12">
        <f>AVERAGE(I18:I21)</f>
        <v>-0.901410987899847</v>
      </c>
      <c r="K21" s="12"/>
      <c r="L21" s="12">
        <f>('Cashflow'!D21-'Cashflow'!C21)/'Cashflow'!C21</f>
        <v>-0.922309076146658</v>
      </c>
    </row>
    <row r="22" ht="20.05" customHeight="1">
      <c r="B22" s="31"/>
      <c r="C22" s="13">
        <v>5900</v>
      </c>
      <c r="D22" s="18"/>
      <c r="E22" s="15">
        <v>146</v>
      </c>
      <c r="F22" s="15">
        <v>-40</v>
      </c>
      <c r="G22" s="14">
        <v>295</v>
      </c>
      <c r="H22" s="12">
        <f>C22/C21-1</f>
        <v>-0.0240352008998726</v>
      </c>
      <c r="I22" s="12">
        <f>(E22+G22-F22-C22)/C22</f>
        <v>-0.918474576271186</v>
      </c>
      <c r="J22" s="12">
        <f>AVERAGE(I19:I22)</f>
        <v>-0.89534158665921</v>
      </c>
      <c r="K22" s="12"/>
      <c r="L22" s="12">
        <f>('Cashflow'!D22-'Cashflow'!C22)/'Cashflow'!C22</f>
        <v>-0.908359027064063</v>
      </c>
    </row>
    <row r="23" ht="20.05" customHeight="1">
      <c r="B23" s="31"/>
      <c r="C23" s="13">
        <v>7067.7</v>
      </c>
      <c r="D23" s="15">
        <v>6711</v>
      </c>
      <c r="E23" s="15">
        <v>121</v>
      </c>
      <c r="F23" s="15">
        <v>-62</v>
      </c>
      <c r="G23" s="14">
        <v>910.4</v>
      </c>
      <c r="H23" s="12">
        <f>C23/C22-1</f>
        <v>0.197915254237288</v>
      </c>
      <c r="I23" s="12">
        <f>(E23+G23-F23-C23)/C23</f>
        <v>-0.845296206686758</v>
      </c>
      <c r="J23" s="12">
        <f>AVERAGE(I20:I23)</f>
        <v>-0.889969169846322</v>
      </c>
      <c r="K23" s="12"/>
      <c r="L23" s="12">
        <f>('Cashflow'!D23-'Cashflow'!C23)/'Cashflow'!C23</f>
        <v>-0.771603007966644</v>
      </c>
    </row>
    <row r="24" ht="20.05" customHeight="1">
      <c r="B24" s="32">
        <v>2020</v>
      </c>
      <c r="C24" s="13">
        <v>5379.5</v>
      </c>
      <c r="D24" s="15">
        <v>6013.7</v>
      </c>
      <c r="E24" s="15">
        <v>155.4</v>
      </c>
      <c r="F24" s="15">
        <v>605</v>
      </c>
      <c r="G24" s="14">
        <v>949.8</v>
      </c>
      <c r="H24" s="12">
        <f>C24/C23-1</f>
        <v>-0.238861298583698</v>
      </c>
      <c r="I24" s="12">
        <f>(E24+G24-F24-C24)/C24</f>
        <v>-0.907017380797472</v>
      </c>
      <c r="J24" s="12">
        <f>AVERAGE(I21:I24)</f>
        <v>-0.895212631562975</v>
      </c>
      <c r="K24" s="12"/>
      <c r="L24" s="12">
        <f>('Cashflow'!D24-'Cashflow'!C24)/'Cashflow'!C24</f>
        <v>-0.756525481238724</v>
      </c>
    </row>
    <row r="25" ht="20.05" customHeight="1">
      <c r="B25" s="31"/>
      <c r="C25" s="13">
        <v>5702.8</v>
      </c>
      <c r="D25" s="15">
        <v>5743.035</v>
      </c>
      <c r="E25" s="15">
        <v>177.6</v>
      </c>
      <c r="F25" s="18">
        <v>-479</v>
      </c>
      <c r="G25" s="14">
        <v>12.76</v>
      </c>
      <c r="H25" s="12">
        <f>C25/C24-1</f>
        <v>0.0600985221674877</v>
      </c>
      <c r="I25" s="12">
        <f>(E25+G25-F25-C25)/C25</f>
        <v>-0.882626078417619</v>
      </c>
      <c r="J25" s="12">
        <f>AVERAGE(I22:I25)</f>
        <v>-0.888353560543259</v>
      </c>
      <c r="K25" s="12"/>
      <c r="L25" s="12">
        <f>('Cashflow'!D25-'Cashflow'!C25)/'Cashflow'!C25</f>
        <v>-0.851696941791555</v>
      </c>
    </row>
    <row r="26" ht="20.05" customHeight="1">
      <c r="B26" s="31"/>
      <c r="C26" s="13">
        <f>17581-SUM(C24:C25)</f>
        <v>6498.7</v>
      </c>
      <c r="D26" s="15">
        <v>6018</v>
      </c>
      <c r="E26" s="15">
        <f>528.8-SUM(E24:E25)</f>
        <v>195.8</v>
      </c>
      <c r="F26" s="15">
        <f>303.9-SUM(F24:F25)</f>
        <v>177.9</v>
      </c>
      <c r="G26" s="14">
        <f>1589.8-SUM(G24:G25)</f>
        <v>627.24</v>
      </c>
      <c r="H26" s="12">
        <f>C26/C25-1</f>
        <v>0.139563021673564</v>
      </c>
      <c r="I26" s="12">
        <f>(E26+G26-F26-C26)/C26</f>
        <v>-0.900727837875267</v>
      </c>
      <c r="J26" s="12">
        <f>AVERAGE(I23:I26)</f>
        <v>-0.883916875944279</v>
      </c>
      <c r="K26" s="12"/>
      <c r="L26" s="12">
        <f>('Cashflow'!D26-'Cashflow'!C26)/'Cashflow'!C26</f>
        <v>-0.917655191017298</v>
      </c>
    </row>
    <row r="27" ht="20.05" customHeight="1">
      <c r="B27" s="31"/>
      <c r="C27" s="13">
        <f>24477-SUM(C24:C26)</f>
        <v>6896</v>
      </c>
      <c r="D27" s="15">
        <v>7148.57</v>
      </c>
      <c r="E27" s="15">
        <f>732.4-SUM(E24:E26)</f>
        <v>203.6</v>
      </c>
      <c r="F27" s="15">
        <f>117-SUM(F24:F26)</f>
        <v>-186.9</v>
      </c>
      <c r="G27" s="14">
        <f>2098.2-SUM(G24:G26)</f>
        <v>508.4</v>
      </c>
      <c r="H27" s="12">
        <f>C27/C26-1</f>
        <v>0.0611353039838737</v>
      </c>
      <c r="I27" s="12">
        <f>(E27+G27-F27-C27)/C27</f>
        <v>-0.869649071925754</v>
      </c>
      <c r="J27" s="12">
        <f>AVERAGE(I24:I27)</f>
        <v>-0.890005092254028</v>
      </c>
      <c r="K27" s="12"/>
      <c r="L27" s="12">
        <f>('Cashflow'!D27-'Cashflow'!C27)/'Cashflow'!C27</f>
        <v>-0.878664169188159</v>
      </c>
    </row>
    <row r="28" ht="20.05" customHeight="1">
      <c r="B28" s="32">
        <v>2021</v>
      </c>
      <c r="C28" s="13">
        <v>7335.4</v>
      </c>
      <c r="D28" s="15">
        <v>7482.108</v>
      </c>
      <c r="E28" s="15">
        <f>206.6</f>
        <v>206.6</v>
      </c>
      <c r="F28" s="15">
        <f>155.7</f>
        <v>155.7</v>
      </c>
      <c r="G28" s="18">
        <v>845</v>
      </c>
      <c r="H28" s="12">
        <f>C28/C27-1</f>
        <v>0.0637180974477958</v>
      </c>
      <c r="I28" s="12">
        <f>(E28+G28-F28-C28)/C28</f>
        <v>-0.877866237696649</v>
      </c>
      <c r="J28" s="12">
        <f>AVERAGE(I25:I28)</f>
        <v>-0.882717306478822</v>
      </c>
      <c r="K28" s="12"/>
      <c r="L28" s="12">
        <f>('Cashflow'!D28-'Cashflow'!C28)/'Cashflow'!C28</f>
        <v>-0.77590041982765</v>
      </c>
    </row>
    <row r="29" ht="20.05" customHeight="1">
      <c r="B29" s="31"/>
      <c r="C29" s="13">
        <f>13153.7-C28</f>
        <v>5818.3</v>
      </c>
      <c r="D29" s="15">
        <v>7482.108</v>
      </c>
      <c r="E29" s="15">
        <f>414.1-E28</f>
        <v>207.5</v>
      </c>
      <c r="F29" s="15">
        <f>122.6-F28</f>
        <v>-33.1</v>
      </c>
      <c r="G29" s="15">
        <f>959.8-G28</f>
        <v>114.8</v>
      </c>
      <c r="H29" s="12">
        <f>C29/C28-1</f>
        <v>-0.206818987376285</v>
      </c>
      <c r="I29" s="12">
        <f>(E29+G29-F29-C29)/C29</f>
        <v>-0.938916865751164</v>
      </c>
      <c r="J29" s="12">
        <f>AVERAGE(I26:I29)</f>
        <v>-0.896790003312209</v>
      </c>
      <c r="K29" s="12"/>
      <c r="L29" s="12">
        <f>('Cashflow'!D29-'Cashflow'!C29)/'Cashflow'!C29</f>
        <v>-1.08999459008963</v>
      </c>
    </row>
    <row r="30" ht="20.05" customHeight="1">
      <c r="B30" s="31"/>
      <c r="C30" s="13">
        <f>19887.8-SUM(C28:C29)</f>
        <v>6734.1</v>
      </c>
      <c r="D30" s="15">
        <v>5876.483</v>
      </c>
      <c r="E30" s="15">
        <f>632-SUM(E28:E29)</f>
        <v>217.9</v>
      </c>
      <c r="F30" s="15">
        <f>53.4-SUM(F28:F29)</f>
        <v>-69.2</v>
      </c>
      <c r="G30" s="15">
        <f>1005.3-SUM(G28:G29)</f>
        <v>45.5</v>
      </c>
      <c r="H30" s="12">
        <f>C30/C29-1</f>
        <v>0.157399927813966</v>
      </c>
      <c r="I30" s="12">
        <f>(E30+G30-F30-C30)/C30</f>
        <v>-0.950609584057261</v>
      </c>
      <c r="J30" s="12">
        <f>AVERAGE(I27:I30)</f>
        <v>-0.909260439857707</v>
      </c>
      <c r="K30" s="12"/>
      <c r="L30" s="12">
        <f>('Cashflow'!D30-'Cashflow'!C30)/'Cashflow'!C30</f>
        <v>-0.992114671388954</v>
      </c>
    </row>
    <row r="31" ht="20.05" customHeight="1">
      <c r="B31" s="31"/>
      <c r="C31" s="13">
        <f>27904.6-SUM(C28:C30)</f>
        <v>8016.8</v>
      </c>
      <c r="D31" s="15">
        <v>7205.487</v>
      </c>
      <c r="E31" s="15">
        <f>844.1-SUM(E28:E30)</f>
        <v>212.1</v>
      </c>
      <c r="F31" s="21">
        <f>46.6-SUM(F28:F30)</f>
        <v>-6.8</v>
      </c>
      <c r="G31" s="15">
        <f>1211-SUM(G28:G30)</f>
        <v>205.7</v>
      </c>
      <c r="H31" s="12">
        <f>C31/C30-1</f>
        <v>0.190478311875381</v>
      </c>
      <c r="I31" s="12">
        <f>(E31+G31-F31-C31)/C31</f>
        <v>-0.947036223929748</v>
      </c>
      <c r="J31" s="12">
        <f>AVERAGE(I28:I31)</f>
        <v>-0.928607227858706</v>
      </c>
      <c r="K31" s="12">
        <f>J31</f>
        <v>-0.928607227858706</v>
      </c>
      <c r="L31" s="12">
        <f>('Cashflow'!D31-'Cashflow'!C31)/'Cashflow'!C31</f>
        <v>-0.9880567372079599</v>
      </c>
    </row>
    <row r="32" ht="20.05" customHeight="1">
      <c r="B32" s="32">
        <v>2022</v>
      </c>
      <c r="C32" s="13"/>
      <c r="D32" s="15">
        <f>'Model'!C6</f>
        <v>7615.96</v>
      </c>
      <c r="E32" s="15"/>
      <c r="F32" s="18"/>
      <c r="G32" s="19"/>
      <c r="H32" s="33"/>
      <c r="I32" s="19"/>
      <c r="J32" s="12"/>
      <c r="K32" s="33">
        <f>'Model'!C7</f>
        <v>-0.909260439857707</v>
      </c>
      <c r="L32" s="12"/>
    </row>
    <row r="33" ht="20.05" customHeight="1">
      <c r="B33" s="31"/>
      <c r="C33" s="13"/>
      <c r="D33" s="15">
        <f>'Model'!D6</f>
        <v>8149.0772</v>
      </c>
      <c r="E33" s="15"/>
      <c r="F33" s="15"/>
      <c r="G33" s="19"/>
      <c r="H33" s="33"/>
      <c r="I33" s="33"/>
      <c r="J33" s="12"/>
      <c r="K33" s="12"/>
      <c r="L33" s="12"/>
    </row>
    <row r="34" ht="20.05" customHeight="1">
      <c r="B34" s="31"/>
      <c r="C34" s="13"/>
      <c r="D34" s="15">
        <f>SUM('Model'!E6)</f>
        <v>8556.531059999999</v>
      </c>
      <c r="E34" s="15"/>
      <c r="F34" s="18"/>
      <c r="G34" s="19"/>
      <c r="H34" s="33"/>
      <c r="I34" s="33"/>
      <c r="J34" s="12"/>
      <c r="K34" s="12"/>
      <c r="L34" s="12"/>
    </row>
    <row r="35" ht="20.05" customHeight="1">
      <c r="B35" s="31"/>
      <c r="C35" s="13"/>
      <c r="D35" s="15">
        <f>'Model'!F6</f>
        <v>8813.2269918</v>
      </c>
      <c r="E35" s="15"/>
      <c r="F35" s="18"/>
      <c r="G35" s="19"/>
      <c r="H35" s="33"/>
      <c r="I35" s="33"/>
      <c r="J35" s="12"/>
      <c r="K35" s="12"/>
      <c r="L35" s="12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73438" style="34" customWidth="1"/>
    <col min="2" max="2" width="9.26562" style="34" customWidth="1"/>
    <col min="3" max="3" width="10.8125" style="34" customWidth="1"/>
    <col min="4" max="15" width="11.375" style="34" customWidth="1"/>
    <col min="16" max="16384" width="16.3516" style="34" customWidth="1"/>
  </cols>
  <sheetData>
    <row r="1" ht="29.7" customHeight="1"/>
    <row r="2" ht="27.65" customHeight="1">
      <c r="B2" t="s" s="2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47</v>
      </c>
      <c r="D3" t="s" s="5">
        <v>8</v>
      </c>
      <c r="E3" t="s" s="5">
        <v>48</v>
      </c>
      <c r="F3" t="s" s="5">
        <v>9</v>
      </c>
      <c r="G3" t="s" s="5">
        <v>11</v>
      </c>
      <c r="H3" t="s" s="5">
        <v>12</v>
      </c>
      <c r="I3" t="s" s="5">
        <v>49</v>
      </c>
      <c r="J3" t="s" s="5">
        <v>50</v>
      </c>
      <c r="K3" t="s" s="5">
        <v>32</v>
      </c>
      <c r="L3" t="s" s="5">
        <v>42</v>
      </c>
      <c r="M3" t="s" s="5">
        <v>28</v>
      </c>
      <c r="N3" t="s" s="5">
        <v>42</v>
      </c>
      <c r="O3" s="35"/>
    </row>
    <row r="4" ht="20.25" customHeight="1">
      <c r="B4" s="25">
        <v>2015</v>
      </c>
      <c r="C4" s="26"/>
      <c r="D4" s="28">
        <v>1204</v>
      </c>
      <c r="E4" s="28"/>
      <c r="F4" s="28">
        <v>-221</v>
      </c>
      <c r="G4" s="28"/>
      <c r="H4" s="28"/>
      <c r="I4" s="28">
        <v>-412</v>
      </c>
      <c r="J4" s="28">
        <f>D4+F4</f>
        <v>983</v>
      </c>
      <c r="K4" s="27"/>
      <c r="L4" s="28"/>
      <c r="M4" s="28">
        <f>-I4</f>
        <v>412</v>
      </c>
      <c r="N4" s="28"/>
      <c r="O4" s="28">
        <v>1</v>
      </c>
    </row>
    <row r="5" ht="20.05" customHeight="1">
      <c r="B5" s="31"/>
      <c r="C5" s="13"/>
      <c r="D5" s="15">
        <v>314</v>
      </c>
      <c r="E5" s="15"/>
      <c r="F5" s="15">
        <v>-93</v>
      </c>
      <c r="G5" s="15"/>
      <c r="H5" s="15"/>
      <c r="I5" s="15">
        <v>-222</v>
      </c>
      <c r="J5" s="15">
        <f>D5+F5</f>
        <v>221</v>
      </c>
      <c r="K5" s="18"/>
      <c r="L5" s="15"/>
      <c r="M5" s="15">
        <f>-I5+M4</f>
        <v>634</v>
      </c>
      <c r="N5" s="15"/>
      <c r="O5" s="15">
        <f>1+O4</f>
        <v>2</v>
      </c>
    </row>
    <row r="6" ht="20.05" customHeight="1">
      <c r="B6" s="31"/>
      <c r="C6" s="13"/>
      <c r="D6" s="15">
        <v>672</v>
      </c>
      <c r="E6" s="15"/>
      <c r="F6" s="15">
        <v>-89</v>
      </c>
      <c r="G6" s="15"/>
      <c r="H6" s="15"/>
      <c r="I6" s="15">
        <v>-30</v>
      </c>
      <c r="J6" s="15">
        <f>D6+F6</f>
        <v>583</v>
      </c>
      <c r="K6" s="18"/>
      <c r="L6" s="15"/>
      <c r="M6" s="15">
        <f>-I6+M5</f>
        <v>664</v>
      </c>
      <c r="N6" s="15"/>
      <c r="O6" s="15">
        <f>1+O5</f>
        <v>3</v>
      </c>
    </row>
    <row r="7" ht="20.05" customHeight="1">
      <c r="B7" s="31"/>
      <c r="C7" s="13"/>
      <c r="D7" s="15">
        <v>147</v>
      </c>
      <c r="E7" s="15"/>
      <c r="F7" s="15">
        <v>-138</v>
      </c>
      <c r="G7" s="15"/>
      <c r="H7" s="15"/>
      <c r="I7" s="15">
        <v>-281</v>
      </c>
      <c r="J7" s="15">
        <f>D7+F7</f>
        <v>9</v>
      </c>
      <c r="K7" s="18"/>
      <c r="L7" s="15"/>
      <c r="M7" s="15">
        <f>-I7+M6</f>
        <v>945</v>
      </c>
      <c r="N7" s="15"/>
      <c r="O7" s="15">
        <f>1+O6</f>
        <v>4</v>
      </c>
    </row>
    <row r="8" ht="20.05" customHeight="1">
      <c r="B8" s="32">
        <v>2016</v>
      </c>
      <c r="C8" s="13">
        <v>4145.9</v>
      </c>
      <c r="D8" s="15">
        <v>-47</v>
      </c>
      <c r="E8" s="15"/>
      <c r="F8" s="15">
        <v>-142</v>
      </c>
      <c r="G8" s="15"/>
      <c r="H8" s="15"/>
      <c r="I8" s="15">
        <v>425</v>
      </c>
      <c r="J8" s="15">
        <f>D8+F8</f>
        <v>-189</v>
      </c>
      <c r="K8" s="15">
        <f>AVERAGE(J5:J8)</f>
        <v>156</v>
      </c>
      <c r="L8" s="15"/>
      <c r="M8" s="15">
        <f>-I8+M7</f>
        <v>520</v>
      </c>
      <c r="N8" s="15"/>
      <c r="O8" s="15">
        <f>1+O7</f>
        <v>5</v>
      </c>
    </row>
    <row r="9" ht="20.05" customHeight="1">
      <c r="B9" s="31"/>
      <c r="C9" s="13">
        <f>8651.7-C8</f>
        <v>4505.8</v>
      </c>
      <c r="D9" s="15">
        <v>-354</v>
      </c>
      <c r="E9" s="15"/>
      <c r="F9" s="15">
        <v>-216</v>
      </c>
      <c r="G9" s="15"/>
      <c r="H9" s="15"/>
      <c r="I9" s="15">
        <v>108</v>
      </c>
      <c r="J9" s="15">
        <f>D9+F9</f>
        <v>-570</v>
      </c>
      <c r="K9" s="15">
        <f>AVERAGE(J6:J9)</f>
        <v>-41.75</v>
      </c>
      <c r="L9" s="15"/>
      <c r="M9" s="15">
        <f>-I9+M8</f>
        <v>412</v>
      </c>
      <c r="N9" s="15"/>
      <c r="O9" s="15">
        <f>1+O8</f>
        <v>6</v>
      </c>
    </row>
    <row r="10" ht="20.05" customHeight="1">
      <c r="B10" s="31"/>
      <c r="C10" s="13">
        <f>13197.2-SUM(C8:C9)</f>
        <v>4545.5</v>
      </c>
      <c r="D10" s="15">
        <v>461</v>
      </c>
      <c r="E10" s="15"/>
      <c r="F10" s="15">
        <v>-206</v>
      </c>
      <c r="G10" s="15"/>
      <c r="H10" s="15"/>
      <c r="I10" s="15">
        <v>-39</v>
      </c>
      <c r="J10" s="15">
        <f>D10+F10</f>
        <v>255</v>
      </c>
      <c r="K10" s="15">
        <f>AVERAGE(J7:J10)</f>
        <v>-123.75</v>
      </c>
      <c r="L10" s="15"/>
      <c r="M10" s="15">
        <f>-I10+M9</f>
        <v>451</v>
      </c>
      <c r="N10" s="15"/>
      <c r="O10" s="15">
        <f>1+O9</f>
        <v>7</v>
      </c>
    </row>
    <row r="11" ht="20.05" customHeight="1">
      <c r="B11" s="31"/>
      <c r="C11" s="13">
        <f>17355.8-SUM(C8:C10)</f>
        <v>4158.6</v>
      </c>
      <c r="D11" s="15">
        <v>599</v>
      </c>
      <c r="E11" s="15"/>
      <c r="F11" s="15">
        <v>-183</v>
      </c>
      <c r="G11" s="15"/>
      <c r="H11" s="15"/>
      <c r="I11" s="15">
        <v>-505</v>
      </c>
      <c r="J11" s="15">
        <f>D11+F11</f>
        <v>416</v>
      </c>
      <c r="K11" s="15">
        <f>AVERAGE(J8:J11)</f>
        <v>-22</v>
      </c>
      <c r="L11" s="15"/>
      <c r="M11" s="15">
        <f>-I11+M10</f>
        <v>956</v>
      </c>
      <c r="N11" s="15"/>
      <c r="O11" s="15">
        <f>1+O10</f>
        <v>8</v>
      </c>
    </row>
    <row r="12" ht="20.05" customHeight="1">
      <c r="B12" s="32">
        <v>2017</v>
      </c>
      <c r="C12" s="13">
        <v>4263.9</v>
      </c>
      <c r="D12" s="15">
        <v>-173</v>
      </c>
      <c r="E12" s="15"/>
      <c r="F12" s="15">
        <v>-94</v>
      </c>
      <c r="G12" s="15">
        <v>94.75</v>
      </c>
      <c r="H12" s="15">
        <v>-120.25</v>
      </c>
      <c r="I12" s="15">
        <v>565</v>
      </c>
      <c r="J12" s="15">
        <f>D12+F12</f>
        <v>-267</v>
      </c>
      <c r="K12" s="15">
        <f>AVERAGE(J9:J12)</f>
        <v>-41.5</v>
      </c>
      <c r="L12" s="15"/>
      <c r="M12" s="15">
        <f>-(G12+H12)+M11</f>
        <v>981.5</v>
      </c>
      <c r="N12" s="15"/>
      <c r="O12" s="15">
        <f>1+O11</f>
        <v>9</v>
      </c>
    </row>
    <row r="13" ht="20.05" customHeight="1">
      <c r="B13" s="31"/>
      <c r="C13" s="13">
        <f>9021.1-C12</f>
        <v>4757.2</v>
      </c>
      <c r="D13" s="15">
        <v>3</v>
      </c>
      <c r="E13" s="15"/>
      <c r="F13" s="15">
        <v>-219</v>
      </c>
      <c r="G13" s="15">
        <v>94.75</v>
      </c>
      <c r="H13" s="15">
        <v>-120.25</v>
      </c>
      <c r="I13" s="15">
        <v>398</v>
      </c>
      <c r="J13" s="15">
        <f>D13+F13</f>
        <v>-216</v>
      </c>
      <c r="K13" s="15">
        <f>AVERAGE(J10:J13)</f>
        <v>47</v>
      </c>
      <c r="L13" s="15"/>
      <c r="M13" s="15">
        <f>-(G13+H13)+M12</f>
        <v>1007</v>
      </c>
      <c r="N13" s="15"/>
      <c r="O13" s="15">
        <f>1+O12</f>
        <v>10</v>
      </c>
    </row>
    <row r="14" ht="20.05" customHeight="1">
      <c r="B14" s="31"/>
      <c r="C14" s="13">
        <f>13789.5-SUM(C12:C13)</f>
        <v>4768.4</v>
      </c>
      <c r="D14" s="15">
        <v>633</v>
      </c>
      <c r="E14" s="15"/>
      <c r="F14" s="15">
        <v>-74</v>
      </c>
      <c r="G14" s="15">
        <v>94.75</v>
      </c>
      <c r="H14" s="15">
        <v>-120.25</v>
      </c>
      <c r="I14" s="15">
        <v>-666</v>
      </c>
      <c r="J14" s="15">
        <f>D14+F14</f>
        <v>559</v>
      </c>
      <c r="K14" s="15">
        <f>AVERAGE(J11:J14)</f>
        <v>123</v>
      </c>
      <c r="L14" s="15"/>
      <c r="M14" s="15">
        <f>-(G14+H14)+M13</f>
        <v>1032.5</v>
      </c>
      <c r="N14" s="15"/>
      <c r="O14" s="15">
        <f>1+O13</f>
        <v>11</v>
      </c>
    </row>
    <row r="15" ht="20.05" customHeight="1">
      <c r="B15" s="31"/>
      <c r="C15" s="13">
        <f>19102.3-SUM(C12:C14)</f>
        <v>5312.8</v>
      </c>
      <c r="D15" s="15">
        <v>813</v>
      </c>
      <c r="E15" s="15"/>
      <c r="F15" s="15">
        <v>-139</v>
      </c>
      <c r="G15" s="15">
        <v>94.75</v>
      </c>
      <c r="H15" s="15">
        <v>-120.25</v>
      </c>
      <c r="I15" s="15">
        <v>-399</v>
      </c>
      <c r="J15" s="15">
        <f>D15+F15</f>
        <v>674</v>
      </c>
      <c r="K15" s="15">
        <f>AVERAGE(J12:J15)</f>
        <v>187.5</v>
      </c>
      <c r="L15" s="15"/>
      <c r="M15" s="15">
        <f>-(G15+H15)+M14</f>
        <v>1058</v>
      </c>
      <c r="N15" s="15"/>
      <c r="O15" s="15">
        <f>1+O14</f>
        <v>12</v>
      </c>
    </row>
    <row r="16" ht="20.05" customHeight="1">
      <c r="B16" s="32">
        <v>2018</v>
      </c>
      <c r="C16" s="13">
        <v>5421.7</v>
      </c>
      <c r="D16" s="15">
        <v>-608</v>
      </c>
      <c r="E16" s="15"/>
      <c r="F16" s="15">
        <v>-188</v>
      </c>
      <c r="G16" s="15">
        <v>389.525</v>
      </c>
      <c r="H16" s="15">
        <v>-154.15</v>
      </c>
      <c r="I16" s="15">
        <v>666</v>
      </c>
      <c r="J16" s="15">
        <f>D16+F16</f>
        <v>-796</v>
      </c>
      <c r="K16" s="15">
        <f>AVERAGE(J13:J16)</f>
        <v>55.25</v>
      </c>
      <c r="L16" s="15"/>
      <c r="M16" s="15">
        <f>-(G16+H16)+M15</f>
        <v>822.625</v>
      </c>
      <c r="N16" s="15"/>
      <c r="O16" s="15">
        <f>1+O15</f>
        <v>13</v>
      </c>
    </row>
    <row r="17" ht="20.05" customHeight="1">
      <c r="B17" s="31"/>
      <c r="C17" s="13">
        <f>11193.4-C16</f>
        <v>5771.7</v>
      </c>
      <c r="D17" s="15">
        <v>-380</v>
      </c>
      <c r="E17" s="15"/>
      <c r="F17" s="15">
        <v>-306</v>
      </c>
      <c r="G17" s="15">
        <v>389.525</v>
      </c>
      <c r="H17" s="15">
        <v>-154.15</v>
      </c>
      <c r="I17" s="15">
        <v>693</v>
      </c>
      <c r="J17" s="15">
        <f>D17+F17</f>
        <v>-686</v>
      </c>
      <c r="K17" s="15">
        <f>AVERAGE(J14:J17)</f>
        <v>-62.25</v>
      </c>
      <c r="L17" s="15"/>
      <c r="M17" s="15">
        <f>-(G17+H17)+M16</f>
        <v>587.25</v>
      </c>
      <c r="N17" s="15"/>
      <c r="O17" s="15">
        <f>1+O16</f>
        <v>14</v>
      </c>
    </row>
    <row r="18" ht="20.05" customHeight="1">
      <c r="B18" s="31"/>
      <c r="C18" s="13">
        <f>16718.9-SUM(C16:C17)</f>
        <v>5525.5</v>
      </c>
      <c r="D18" s="15">
        <v>-494</v>
      </c>
      <c r="E18" s="15"/>
      <c r="F18" s="15">
        <v>-311</v>
      </c>
      <c r="G18" s="15">
        <v>389.525</v>
      </c>
      <c r="H18" s="15">
        <v>-154.15</v>
      </c>
      <c r="I18" s="15">
        <v>613</v>
      </c>
      <c r="J18" s="15">
        <f>D18+F18</f>
        <v>-805</v>
      </c>
      <c r="K18" s="15">
        <f>AVERAGE(J15:J18)</f>
        <v>-403.25</v>
      </c>
      <c r="L18" s="15"/>
      <c r="M18" s="15">
        <f>-(G18+H18)+M17</f>
        <v>351.875</v>
      </c>
      <c r="N18" s="15"/>
      <c r="O18" s="15">
        <f>1+O17</f>
        <v>15</v>
      </c>
    </row>
    <row r="19" ht="20.05" customHeight="1">
      <c r="B19" s="31"/>
      <c r="C19" s="13">
        <f>23681-SUM(C16:C18)</f>
        <v>6962.1</v>
      </c>
      <c r="D19" s="15">
        <v>1941</v>
      </c>
      <c r="E19" s="15"/>
      <c r="F19" s="15">
        <v>-391</v>
      </c>
      <c r="G19" s="15">
        <v>389.525</v>
      </c>
      <c r="H19" s="15">
        <v>-154.15</v>
      </c>
      <c r="I19" s="15">
        <v>-1031</v>
      </c>
      <c r="J19" s="15">
        <f>D19+F19</f>
        <v>1550</v>
      </c>
      <c r="K19" s="15">
        <f>AVERAGE(J16:J19)</f>
        <v>-184.25</v>
      </c>
      <c r="L19" s="15"/>
      <c r="M19" s="15">
        <f>-(G19+H19)+M18</f>
        <v>116.5</v>
      </c>
      <c r="N19" s="15"/>
      <c r="O19" s="15">
        <f>1+O18</f>
        <v>16</v>
      </c>
    </row>
    <row r="20" ht="20.05" customHeight="1">
      <c r="B20" s="32">
        <v>2019</v>
      </c>
      <c r="C20" s="13">
        <v>5623.4</v>
      </c>
      <c r="D20" s="15">
        <v>747</v>
      </c>
      <c r="E20" s="15">
        <v>-14.5</v>
      </c>
      <c r="F20" s="15">
        <v>-289</v>
      </c>
      <c r="G20" s="15">
        <v>-50.7</v>
      </c>
      <c r="H20" s="15">
        <v>-165.675</v>
      </c>
      <c r="I20" s="15">
        <v>-609</v>
      </c>
      <c r="J20" s="15">
        <f>D20+F20</f>
        <v>458</v>
      </c>
      <c r="K20" s="15">
        <f>AVERAGE(J17:J20)</f>
        <v>129.25</v>
      </c>
      <c r="L20" s="15"/>
      <c r="M20" s="15">
        <f>-(G20+H20)+M19</f>
        <v>332.875</v>
      </c>
      <c r="N20" s="15"/>
      <c r="O20" s="15">
        <f>1+O19</f>
        <v>17</v>
      </c>
    </row>
    <row r="21" ht="20.05" customHeight="1">
      <c r="B21" s="31"/>
      <c r="C21" s="13">
        <f>11904.7-C20</f>
        <v>6281.3</v>
      </c>
      <c r="D21" s="15">
        <v>488</v>
      </c>
      <c r="E21" s="15">
        <v>-318.3</v>
      </c>
      <c r="F21" s="15">
        <v>-583</v>
      </c>
      <c r="G21" s="15">
        <v>-50.7</v>
      </c>
      <c r="H21" s="15">
        <v>-165.675</v>
      </c>
      <c r="I21" s="15">
        <v>-176</v>
      </c>
      <c r="J21" s="15">
        <f>D21+F21</f>
        <v>-95</v>
      </c>
      <c r="K21" s="15">
        <f>AVERAGE(J18:J21)</f>
        <v>277</v>
      </c>
      <c r="L21" s="15"/>
      <c r="M21" s="15">
        <f>-(G21+H21)+M20</f>
        <v>549.25</v>
      </c>
      <c r="N21" s="15"/>
      <c r="O21" s="15">
        <f>1+O20</f>
        <v>18</v>
      </c>
    </row>
    <row r="22" ht="20.05" customHeight="1">
      <c r="B22" s="31"/>
      <c r="C22" s="13">
        <f>17742.7-SUM(C20:C21)</f>
        <v>5838</v>
      </c>
      <c r="D22" s="15">
        <v>535</v>
      </c>
      <c r="E22" s="15">
        <v>-271.6</v>
      </c>
      <c r="F22" s="15">
        <v>-497</v>
      </c>
      <c r="G22" s="15">
        <v>-50.7</v>
      </c>
      <c r="H22" s="15">
        <v>-165.675</v>
      </c>
      <c r="I22" s="15">
        <v>13</v>
      </c>
      <c r="J22" s="15">
        <f>D22+F22</f>
        <v>38</v>
      </c>
      <c r="K22" s="15">
        <f>AVERAGE(J19:J22)</f>
        <v>487.75</v>
      </c>
      <c r="L22" s="15"/>
      <c r="M22" s="15">
        <f>-(G22+H22)+M21</f>
        <v>765.625</v>
      </c>
      <c r="N22" s="15"/>
      <c r="O22" s="15">
        <f>1+O21</f>
        <v>19</v>
      </c>
    </row>
    <row r="23" ht="20.05" customHeight="1">
      <c r="B23" s="31"/>
      <c r="C23" s="13">
        <f>24458.2-SUM(C20:C22)</f>
        <v>6715.5</v>
      </c>
      <c r="D23" s="15">
        <v>1533.8</v>
      </c>
      <c r="E23" s="15">
        <v>-401.5</v>
      </c>
      <c r="F23" s="15">
        <v>-476.3</v>
      </c>
      <c r="G23" s="15">
        <v>-50.7</v>
      </c>
      <c r="H23" s="15">
        <v>-165.675</v>
      </c>
      <c r="I23" s="15">
        <v>-93.40000000000001</v>
      </c>
      <c r="J23" s="15">
        <f>D23+F23</f>
        <v>1057.5</v>
      </c>
      <c r="K23" s="15">
        <f>AVERAGE(J20:J23)</f>
        <v>364.625</v>
      </c>
      <c r="L23" s="15"/>
      <c r="M23" s="15">
        <f>-(G23+H23)+M22</f>
        <v>982</v>
      </c>
      <c r="N23" s="15"/>
      <c r="O23" s="15">
        <f>1+O22</f>
        <v>20</v>
      </c>
    </row>
    <row r="24" ht="20.05" customHeight="1">
      <c r="B24" s="32">
        <v>2020</v>
      </c>
      <c r="C24" s="13">
        <v>6041.7</v>
      </c>
      <c r="D24" s="15">
        <v>1471</v>
      </c>
      <c r="E24" s="15">
        <v>-1497</v>
      </c>
      <c r="F24" s="15">
        <v>-416</v>
      </c>
      <c r="G24" s="15">
        <v>-791</v>
      </c>
      <c r="H24" s="15">
        <v>0</v>
      </c>
      <c r="I24" s="15">
        <v>-790.9</v>
      </c>
      <c r="J24" s="15">
        <f>D24+F24</f>
        <v>1055</v>
      </c>
      <c r="K24" s="15">
        <f>AVERAGE(J21:J24)</f>
        <v>513.875</v>
      </c>
      <c r="L24" s="15"/>
      <c r="M24" s="15">
        <f>-(G24+H24)+M23</f>
        <v>1773</v>
      </c>
      <c r="N24" s="15"/>
      <c r="O24" s="15">
        <f>1+O23</f>
        <v>21</v>
      </c>
    </row>
    <row r="25" ht="20.05" customHeight="1">
      <c r="B25" s="31"/>
      <c r="C25" s="13">
        <f>12774.4-C24</f>
        <v>6732.7</v>
      </c>
      <c r="D25" s="15">
        <v>998.48</v>
      </c>
      <c r="E25" s="15">
        <v>-223.4</v>
      </c>
      <c r="F25" s="15">
        <v>-188.83</v>
      </c>
      <c r="G25" s="15">
        <v>-687.7</v>
      </c>
      <c r="H25" s="15">
        <v>0</v>
      </c>
      <c r="I25" s="15">
        <v>-687.84</v>
      </c>
      <c r="J25" s="15">
        <f>D25+F25</f>
        <v>809.65</v>
      </c>
      <c r="K25" s="15">
        <f>AVERAGE(J22:J25)</f>
        <v>740.0375</v>
      </c>
      <c r="L25" s="15"/>
      <c r="M25" s="15">
        <f>-(G25+H25)+M24</f>
        <v>2460.7</v>
      </c>
      <c r="N25" s="15"/>
      <c r="O25" s="15">
        <f>1+O24</f>
        <v>22</v>
      </c>
    </row>
    <row r="26" ht="20.05" customHeight="1">
      <c r="B26" s="31"/>
      <c r="C26" s="13">
        <f>18705.8-SUM(C24:C25)</f>
        <v>5931.4</v>
      </c>
      <c r="D26" s="15">
        <f>2957.9-SUM(D24:D25)</f>
        <v>488.42</v>
      </c>
      <c r="E26" s="15">
        <v>-160.3</v>
      </c>
      <c r="F26" s="15">
        <f>-920-SUM(F24:F25)</f>
        <v>-315.17</v>
      </c>
      <c r="G26" s="15">
        <v>285.8</v>
      </c>
      <c r="H26" s="15">
        <v>-685</v>
      </c>
      <c r="I26" s="15">
        <f>-1877.9-SUM(I24:I25)</f>
        <v>-399.16</v>
      </c>
      <c r="J26" s="15">
        <f>D26+F26</f>
        <v>173.25</v>
      </c>
      <c r="K26" s="15">
        <f>AVERAGE(J23:J26)</f>
        <v>773.85</v>
      </c>
      <c r="L26" s="15"/>
      <c r="M26" s="15">
        <f>-(G26+H26)+M25</f>
        <v>2859.9</v>
      </c>
      <c r="N26" s="15"/>
      <c r="O26" s="15">
        <f>1+O25</f>
        <v>23</v>
      </c>
    </row>
    <row r="27" ht="20.05" customHeight="1">
      <c r="B27" s="31"/>
      <c r="C27" s="13">
        <f>24952.1-SUM(C24:C26)</f>
        <v>6246.3</v>
      </c>
      <c r="D27" s="15">
        <f>3715.8-SUM(D24:D26)</f>
        <v>757.9</v>
      </c>
      <c r="E27" s="15">
        <v>-220.9</v>
      </c>
      <c r="F27" s="15">
        <f>-1111-SUM(F24:F26)</f>
        <v>-191</v>
      </c>
      <c r="G27" s="15">
        <v>12.1</v>
      </c>
      <c r="H27" s="15">
        <v>0</v>
      </c>
      <c r="I27" s="15">
        <f>-1865.8-SUM(I24:I26)</f>
        <v>12.1</v>
      </c>
      <c r="J27" s="15">
        <f>D27+F27</f>
        <v>566.9</v>
      </c>
      <c r="K27" s="15">
        <f>AVERAGE(J24:J27)</f>
        <v>651.2</v>
      </c>
      <c r="L27" s="15"/>
      <c r="M27" s="15">
        <f>-(G27+H27)+M26</f>
        <v>2847.8</v>
      </c>
      <c r="N27" s="15"/>
      <c r="O27" s="15">
        <f>1+O26</f>
        <v>24</v>
      </c>
    </row>
    <row r="28" ht="20.05" customHeight="1">
      <c r="B28" s="32">
        <v>2021</v>
      </c>
      <c r="C28" s="13">
        <v>6788.5</v>
      </c>
      <c r="D28" s="15">
        <v>1521.3</v>
      </c>
      <c r="E28" s="15">
        <v>-203</v>
      </c>
      <c r="F28" s="15">
        <v>-179.5</v>
      </c>
      <c r="G28" s="15">
        <v>-438</v>
      </c>
      <c r="H28" s="15">
        <v>0</v>
      </c>
      <c r="I28" s="15">
        <f>-438</f>
        <v>-438</v>
      </c>
      <c r="J28" s="15">
        <f>D28+F28</f>
        <v>1341.8</v>
      </c>
      <c r="K28" s="15">
        <f>AVERAGE(J25:J28)</f>
        <v>722.9</v>
      </c>
      <c r="L28" s="15"/>
      <c r="M28" s="15">
        <f>-(G28+H28)+M27</f>
        <v>3285.8</v>
      </c>
      <c r="N28" s="15"/>
      <c r="O28" s="15">
        <f>1+O27</f>
        <v>25</v>
      </c>
    </row>
    <row r="29" ht="20.05" customHeight="1">
      <c r="B29" s="31"/>
      <c r="C29" s="13">
        <f>13627.8-C28</f>
        <v>6839.3</v>
      </c>
      <c r="D29" s="15">
        <f>905.8-D28</f>
        <v>-615.5</v>
      </c>
      <c r="E29" s="15">
        <v>-203</v>
      </c>
      <c r="F29" s="15">
        <f>-392.5-F28</f>
        <v>-213</v>
      </c>
      <c r="G29" s="15">
        <v>-188</v>
      </c>
      <c r="H29" s="15">
        <v>0</v>
      </c>
      <c r="I29" s="15">
        <f>-626-I28</f>
        <v>-188</v>
      </c>
      <c r="J29" s="15">
        <f>D29+F29</f>
        <v>-828.5</v>
      </c>
      <c r="K29" s="15">
        <f>AVERAGE(J26:J29)</f>
        <v>313.3625</v>
      </c>
      <c r="L29" s="15"/>
      <c r="M29" s="15">
        <f>-(G29+H29)+M28</f>
        <v>3473.8</v>
      </c>
      <c r="N29" s="15"/>
      <c r="O29" s="15">
        <f>1+O28</f>
        <v>26</v>
      </c>
    </row>
    <row r="30" ht="20.05" customHeight="1">
      <c r="B30" s="31"/>
      <c r="C30" s="13">
        <f>19613.6-SUM(C28:C29)</f>
        <v>5985.8</v>
      </c>
      <c r="D30" s="15">
        <f>953-SUM(D28:D29)</f>
        <v>47.2</v>
      </c>
      <c r="E30" s="15">
        <f>-858-SUM(E28:E29)</f>
        <v>-452</v>
      </c>
      <c r="F30" s="15">
        <f>-587.4-SUM(F28:F29)</f>
        <v>-194.9</v>
      </c>
      <c r="G30" s="15">
        <v>1030.1</v>
      </c>
      <c r="H30" s="15">
        <v>-1206.8</v>
      </c>
      <c r="I30" s="15">
        <f>-802.7-SUM(I28:I29)</f>
        <v>-176.7</v>
      </c>
      <c r="J30" s="15">
        <f>D30+F30</f>
        <v>-147.7</v>
      </c>
      <c r="K30" s="15">
        <f>AVERAGE(J27:J30)</f>
        <v>233.125</v>
      </c>
      <c r="L30" s="15"/>
      <c r="M30" s="15">
        <f>-(G30+H30)+M29</f>
        <v>3650.5</v>
      </c>
      <c r="N30" s="15"/>
      <c r="O30" s="15">
        <f>1+O29</f>
        <v>27</v>
      </c>
    </row>
    <row r="31" ht="20.05" customHeight="1">
      <c r="B31" s="31"/>
      <c r="C31" s="13">
        <f>27065.5-SUM(C28:C30)</f>
        <v>7451.9</v>
      </c>
      <c r="D31" s="15">
        <f>1042-SUM(D28:D30)</f>
        <v>89</v>
      </c>
      <c r="E31" s="15">
        <f>-1185.3-SUM(E28:E30)</f>
        <v>-327.3</v>
      </c>
      <c r="F31" s="15">
        <f>-947.6-SUM(F28:F30)</f>
        <v>-360.2</v>
      </c>
      <c r="G31" s="15">
        <f>I31-H31</f>
        <v>-68.09999999999999</v>
      </c>
      <c r="H31" s="15">
        <f>-1162.6-44.1-SUM(H28:H30)</f>
        <v>0.1</v>
      </c>
      <c r="I31" s="15">
        <f>-870.7-SUM(I28:I30)</f>
        <v>-68</v>
      </c>
      <c r="J31" s="15">
        <f>D31+F31</f>
        <v>-271.2</v>
      </c>
      <c r="K31" s="15">
        <f>AVERAGE(J28:J31)</f>
        <v>23.6</v>
      </c>
      <c r="L31" s="15">
        <f>K31</f>
        <v>23.6</v>
      </c>
      <c r="M31" s="15">
        <f>-(G31+H31)+M30</f>
        <v>3718.5</v>
      </c>
      <c r="N31" s="15">
        <f>M31</f>
        <v>3718.5</v>
      </c>
      <c r="O31" s="15">
        <f>1+O30</f>
        <v>28</v>
      </c>
    </row>
    <row r="32" ht="20.05" customHeight="1">
      <c r="B32" s="32">
        <v>2022</v>
      </c>
      <c r="C32" s="13"/>
      <c r="D32" s="15"/>
      <c r="E32" s="19"/>
      <c r="F32" s="15"/>
      <c r="G32" s="15"/>
      <c r="H32" s="15"/>
      <c r="I32" s="15"/>
      <c r="J32" s="15"/>
      <c r="K32" s="19"/>
      <c r="L32" s="15">
        <f>SUM('Model'!F9:F10)</f>
        <v>562.8083406701199</v>
      </c>
      <c r="M32" s="19"/>
      <c r="N32" s="15">
        <f>'Model'!F32</f>
        <v>5777.536746553280</v>
      </c>
      <c r="O32" s="15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10938" style="36" customWidth="1"/>
    <col min="2" max="2" width="7.5625" style="36" customWidth="1"/>
    <col min="3" max="11" width="10" style="36" customWidth="1"/>
    <col min="12" max="16384" width="16.3516" style="36" customWidth="1"/>
  </cols>
  <sheetData>
    <row r="1" ht="51.95" customHeight="1"/>
    <row r="2" ht="27.65" customHeight="1">
      <c r="B2" t="s" s="2">
        <v>51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52</v>
      </c>
      <c r="D3" t="s" s="5">
        <v>53</v>
      </c>
      <c r="E3" t="s" s="5">
        <v>54</v>
      </c>
      <c r="F3" t="s" s="5">
        <v>23</v>
      </c>
      <c r="G3" t="s" s="5">
        <v>11</v>
      </c>
      <c r="H3" t="s" s="5">
        <v>12</v>
      </c>
      <c r="I3" t="s" s="5">
        <v>25</v>
      </c>
      <c r="J3" t="s" s="5">
        <v>55</v>
      </c>
      <c r="K3" t="s" s="5">
        <v>42</v>
      </c>
    </row>
    <row r="4" ht="20.25" customHeight="1">
      <c r="B4" s="25">
        <v>2016</v>
      </c>
      <c r="C4" s="26">
        <v>1901</v>
      </c>
      <c r="D4" s="28">
        <v>12086</v>
      </c>
      <c r="E4" s="28">
        <f>D4-C4</f>
        <v>10185</v>
      </c>
      <c r="F4" s="28">
        <v>2875</v>
      </c>
      <c r="G4" s="28">
        <v>6563</v>
      </c>
      <c r="H4" s="28">
        <v>5523</v>
      </c>
      <c r="I4" s="28">
        <f>G4+H4-C4-E4</f>
        <v>0</v>
      </c>
      <c r="J4" s="28">
        <f>C4-G4</f>
        <v>-4662</v>
      </c>
      <c r="K4" s="28"/>
    </row>
    <row r="5" ht="20.05" customHeight="1">
      <c r="B5" s="31"/>
      <c r="C5" s="13">
        <v>1441</v>
      </c>
      <c r="D5" s="15">
        <v>12318</v>
      </c>
      <c r="E5" s="15">
        <f>D5-C5</f>
        <v>10877</v>
      </c>
      <c r="F5" s="15">
        <v>3002</v>
      </c>
      <c r="G5" s="15">
        <v>6516</v>
      </c>
      <c r="H5" s="15">
        <v>5802</v>
      </c>
      <c r="I5" s="15">
        <f>G5+H5-C5-E5</f>
        <v>0</v>
      </c>
      <c r="J5" s="15">
        <f>C5-G5</f>
        <v>-5075</v>
      </c>
      <c r="K5" s="15"/>
    </row>
    <row r="6" ht="20.05" customHeight="1">
      <c r="B6" s="31"/>
      <c r="C6" s="13">
        <v>1645</v>
      </c>
      <c r="D6" s="15">
        <v>12411</v>
      </c>
      <c r="E6" s="15">
        <f>D6-C6</f>
        <v>10766</v>
      </c>
      <c r="F6" s="15">
        <v>3131</v>
      </c>
      <c r="G6" s="15">
        <v>6650</v>
      </c>
      <c r="H6" s="15">
        <v>5761</v>
      </c>
      <c r="I6" s="15">
        <f>G6+H6-C6-E6</f>
        <v>0</v>
      </c>
      <c r="J6" s="15">
        <f>C6-G6</f>
        <v>-5005</v>
      </c>
      <c r="K6" s="15"/>
    </row>
    <row r="7" ht="20.05" customHeight="1">
      <c r="B7" s="31"/>
      <c r="C7" s="13">
        <v>1543</v>
      </c>
      <c r="D7" s="15">
        <v>12923</v>
      </c>
      <c r="E7" s="15">
        <f>D7-C7</f>
        <v>11380</v>
      </c>
      <c r="F7" s="15">
        <v>3259</v>
      </c>
      <c r="G7" s="15">
        <v>6657</v>
      </c>
      <c r="H7" s="15">
        <v>6265</v>
      </c>
      <c r="I7" s="15">
        <f>G7+H7-C7-E7</f>
        <v>-1</v>
      </c>
      <c r="J7" s="15">
        <f>C7-G7</f>
        <v>-5114</v>
      </c>
      <c r="K7" s="15"/>
    </row>
    <row r="8" ht="20.05" customHeight="1">
      <c r="B8" s="32">
        <v>2017</v>
      </c>
      <c r="C8" s="13">
        <v>1833</v>
      </c>
      <c r="D8" s="15">
        <v>13685</v>
      </c>
      <c r="E8" s="15">
        <f>D8-C8</f>
        <v>11852</v>
      </c>
      <c r="F8" s="15">
        <v>3390</v>
      </c>
      <c r="G8" s="15">
        <v>7052</v>
      </c>
      <c r="H8" s="15">
        <v>6633</v>
      </c>
      <c r="I8" s="15">
        <f>G8+H8-C8-E8</f>
        <v>0</v>
      </c>
      <c r="J8" s="15">
        <f>C8-G8</f>
        <v>-5219</v>
      </c>
      <c r="K8" s="15"/>
    </row>
    <row r="9" ht="20.05" customHeight="1">
      <c r="B9" s="31"/>
      <c r="C9" s="13">
        <v>1996</v>
      </c>
      <c r="D9" s="15">
        <v>14112</v>
      </c>
      <c r="E9" s="15">
        <f>D9-C9</f>
        <v>12116</v>
      </c>
      <c r="F9" s="15">
        <v>3521</v>
      </c>
      <c r="G9" s="15">
        <v>7756</v>
      </c>
      <c r="H9" s="15">
        <v>6356</v>
      </c>
      <c r="I9" s="15">
        <f>G9+H9-C9-E9</f>
        <v>0</v>
      </c>
      <c r="J9" s="15">
        <f>C9-G9</f>
        <v>-5760</v>
      </c>
      <c r="K9" s="15"/>
    </row>
    <row r="10" ht="20.05" customHeight="1">
      <c r="B10" s="31"/>
      <c r="C10" s="13">
        <v>1923</v>
      </c>
      <c r="D10" s="15">
        <v>13865</v>
      </c>
      <c r="E10" s="15">
        <f>D10-C10</f>
        <v>11942</v>
      </c>
      <c r="F10" s="15">
        <v>3650</v>
      </c>
      <c r="G10" s="15">
        <v>7134</v>
      </c>
      <c r="H10" s="15">
        <v>6732</v>
      </c>
      <c r="I10" s="15">
        <f>G10+H10-C10-E10</f>
        <v>1</v>
      </c>
      <c r="J10" s="15">
        <f>C10-G10</f>
        <v>-5211</v>
      </c>
      <c r="K10" s="15"/>
    </row>
    <row r="11" ht="20.05" customHeight="1">
      <c r="B11" s="31"/>
      <c r="C11" s="13">
        <v>2202</v>
      </c>
      <c r="D11" s="15">
        <v>14916</v>
      </c>
      <c r="E11" s="15">
        <f>D11-C11</f>
        <v>12714</v>
      </c>
      <c r="F11" s="15">
        <v>3759</v>
      </c>
      <c r="G11" s="15">
        <v>7562</v>
      </c>
      <c r="H11" s="15">
        <v>7354</v>
      </c>
      <c r="I11" s="15">
        <f>G11+H11-C11-E11</f>
        <v>0</v>
      </c>
      <c r="J11" s="15">
        <f>C11-G11</f>
        <v>-5360</v>
      </c>
      <c r="K11" s="15"/>
    </row>
    <row r="12" ht="20.05" customHeight="1">
      <c r="B12" s="32">
        <v>2018</v>
      </c>
      <c r="C12" s="13">
        <v>2091</v>
      </c>
      <c r="D12" s="15">
        <v>15697</v>
      </c>
      <c r="E12" s="15">
        <f>D12-C12</f>
        <v>13606</v>
      </c>
      <c r="F12" s="15">
        <v>3889</v>
      </c>
      <c r="G12" s="15">
        <v>7869</v>
      </c>
      <c r="H12" s="15">
        <v>7828</v>
      </c>
      <c r="I12" s="15">
        <f>G12+H12-C12-E12</f>
        <v>0</v>
      </c>
      <c r="J12" s="15">
        <f>C12-G12</f>
        <v>-5778</v>
      </c>
      <c r="K12" s="15"/>
    </row>
    <row r="13" ht="20.05" customHeight="1">
      <c r="B13" s="31"/>
      <c r="C13" s="13">
        <v>2156</v>
      </c>
      <c r="D13" s="15">
        <v>16517</v>
      </c>
      <c r="E13" s="15">
        <f>D13-C13</f>
        <v>14361</v>
      </c>
      <c r="F13" s="15">
        <v>4027</v>
      </c>
      <c r="G13" s="15">
        <v>9027</v>
      </c>
      <c r="H13" s="15">
        <v>7490</v>
      </c>
      <c r="I13" s="15">
        <f>G13+H13-C13-E13</f>
        <v>0</v>
      </c>
      <c r="J13" s="15">
        <f>C13-G13</f>
        <v>-6871</v>
      </c>
      <c r="K13" s="15"/>
    </row>
    <row r="14" ht="20.05" customHeight="1">
      <c r="B14" s="31"/>
      <c r="C14" s="13">
        <v>1972</v>
      </c>
      <c r="D14" s="15">
        <v>18018</v>
      </c>
      <c r="E14" s="15">
        <f>D14-C14</f>
        <v>16046</v>
      </c>
      <c r="F14" s="15">
        <v>4161</v>
      </c>
      <c r="G14" s="15">
        <v>10157</v>
      </c>
      <c r="H14" s="15">
        <v>7861</v>
      </c>
      <c r="I14" s="15">
        <f>G14+H14-C14-E14</f>
        <v>0</v>
      </c>
      <c r="J14" s="15">
        <f>C14-G14</f>
        <v>-8185</v>
      </c>
      <c r="K14" s="15"/>
    </row>
    <row r="15" ht="20.05" customHeight="1">
      <c r="B15" s="31"/>
      <c r="C15" s="13">
        <v>2496</v>
      </c>
      <c r="D15" s="15">
        <v>17592</v>
      </c>
      <c r="E15" s="15">
        <f>D15-C15</f>
        <v>15096</v>
      </c>
      <c r="F15" s="15">
        <v>4296</v>
      </c>
      <c r="G15" s="15">
        <v>9049</v>
      </c>
      <c r="H15" s="15">
        <v>8543</v>
      </c>
      <c r="I15" s="15">
        <f>G15+H15-C15-E15</f>
        <v>0</v>
      </c>
      <c r="J15" s="15">
        <f>C15-G15</f>
        <v>-6553</v>
      </c>
      <c r="K15" s="15"/>
    </row>
    <row r="16" ht="20.05" customHeight="1">
      <c r="B16" s="32">
        <v>2019</v>
      </c>
      <c r="C16" s="13">
        <v>2323</v>
      </c>
      <c r="D16" s="15">
        <v>17399</v>
      </c>
      <c r="E16" s="15">
        <f>D16-C16</f>
        <v>15076</v>
      </c>
      <c r="F16" s="15">
        <v>4439</v>
      </c>
      <c r="G16" s="15">
        <v>8373</v>
      </c>
      <c r="H16" s="15">
        <v>9025</v>
      </c>
      <c r="I16" s="15">
        <f>G16+H16-C16-E16</f>
        <v>-1</v>
      </c>
      <c r="J16" s="15">
        <f>C16-G16</f>
        <v>-6050</v>
      </c>
      <c r="K16" s="15"/>
    </row>
    <row r="17" ht="20.05" customHeight="1">
      <c r="B17" s="31"/>
      <c r="C17" s="13">
        <v>2049</v>
      </c>
      <c r="D17" s="15">
        <v>17682</v>
      </c>
      <c r="E17" s="15">
        <f>D17-C17</f>
        <v>15633</v>
      </c>
      <c r="F17" s="15">
        <v>4582</v>
      </c>
      <c r="G17" s="15">
        <v>8304</v>
      </c>
      <c r="H17" s="15">
        <v>9379</v>
      </c>
      <c r="I17" s="15">
        <f>G17+H17-C17-E17</f>
        <v>1</v>
      </c>
      <c r="J17" s="15">
        <f>C17-G17</f>
        <v>-6255</v>
      </c>
      <c r="K17" s="18"/>
    </row>
    <row r="18" ht="20.05" customHeight="1">
      <c r="B18" s="31"/>
      <c r="C18" s="13">
        <v>2103</v>
      </c>
      <c r="D18" s="15">
        <v>18198</v>
      </c>
      <c r="E18" s="15">
        <f>D18-C18</f>
        <v>16095</v>
      </c>
      <c r="F18" s="15">
        <v>4720</v>
      </c>
      <c r="G18" s="15">
        <v>9186</v>
      </c>
      <c r="H18" s="15">
        <v>9012</v>
      </c>
      <c r="I18" s="15">
        <f>G18+H18-C18-E18</f>
        <v>0</v>
      </c>
      <c r="J18" s="15">
        <f>C18-G18</f>
        <v>-7083</v>
      </c>
      <c r="K18" s="18"/>
    </row>
    <row r="19" ht="20.05" customHeight="1">
      <c r="B19" s="31"/>
      <c r="C19" s="13">
        <v>2982</v>
      </c>
      <c r="D19" s="15">
        <v>19037.8</v>
      </c>
      <c r="E19" s="15">
        <f>D19-C19</f>
        <v>16055.8</v>
      </c>
      <c r="F19" s="15">
        <v>4843</v>
      </c>
      <c r="G19" s="15">
        <v>9137.9</v>
      </c>
      <c r="H19" s="15">
        <v>9899.9</v>
      </c>
      <c r="I19" s="15">
        <f>G19+H19-C19-E19</f>
        <v>0</v>
      </c>
      <c r="J19" s="15">
        <f>C19-G19</f>
        <v>-6155.9</v>
      </c>
      <c r="K19" s="18"/>
    </row>
    <row r="20" ht="20.05" customHeight="1">
      <c r="B20" s="32">
        <v>2020</v>
      </c>
      <c r="C20" s="13">
        <v>3655</v>
      </c>
      <c r="D20" s="15">
        <v>19474</v>
      </c>
      <c r="E20" s="15">
        <f>D20-C20</f>
        <v>15819</v>
      </c>
      <c r="F20" s="15">
        <v>4996</v>
      </c>
      <c r="G20" s="15">
        <v>8627</v>
      </c>
      <c r="H20" s="15">
        <v>10847</v>
      </c>
      <c r="I20" s="15">
        <f>G20+H20-C20-E20</f>
        <v>0</v>
      </c>
      <c r="J20" s="15">
        <f>C20-G20</f>
        <v>-4972</v>
      </c>
      <c r="K20" s="18"/>
    </row>
    <row r="21" ht="20.05" customHeight="1">
      <c r="B21" s="31"/>
      <c r="C21" s="13">
        <v>3448</v>
      </c>
      <c r="D21" s="15">
        <v>18351</v>
      </c>
      <c r="E21" s="15">
        <f>D21-C21</f>
        <v>14903</v>
      </c>
      <c r="F21" s="15">
        <v>5171</v>
      </c>
      <c r="G21" s="15">
        <v>7489</v>
      </c>
      <c r="H21" s="15">
        <v>10862</v>
      </c>
      <c r="I21" s="15">
        <f>G21+H21-C21-E21</f>
        <v>0</v>
      </c>
      <c r="J21" s="15">
        <f>C21-G21</f>
        <v>-4041</v>
      </c>
      <c r="K21" s="18"/>
    </row>
    <row r="22" ht="20.05" customHeight="1">
      <c r="B22" s="31"/>
      <c r="C22" s="13">
        <v>3312</v>
      </c>
      <c r="D22" s="15">
        <v>19002</v>
      </c>
      <c r="E22" s="15">
        <f>D22-C22</f>
        <v>15690</v>
      </c>
      <c r="F22" s="15">
        <v>5366</v>
      </c>
      <c r="G22" s="15">
        <v>8189</v>
      </c>
      <c r="H22" s="15">
        <v>10813</v>
      </c>
      <c r="I22" s="15">
        <f>G22+H22-C22-E22</f>
        <v>0</v>
      </c>
      <c r="J22" s="15">
        <f>C22-G22</f>
        <v>-4877</v>
      </c>
      <c r="K22" s="18"/>
    </row>
    <row r="23" ht="20.05" customHeight="1">
      <c r="B23" s="31"/>
      <c r="C23" s="13">
        <v>3778</v>
      </c>
      <c r="D23" s="15">
        <v>19777</v>
      </c>
      <c r="E23" s="15">
        <f>D23-C23</f>
        <v>15999</v>
      </c>
      <c r="F23" s="15">
        <f>5567+72</f>
        <v>5639</v>
      </c>
      <c r="G23" s="15">
        <v>8506</v>
      </c>
      <c r="H23" s="15">
        <v>11271</v>
      </c>
      <c r="I23" s="15">
        <f>G23+H23-C23-E23</f>
        <v>0</v>
      </c>
      <c r="J23" s="15">
        <f>C23-G23</f>
        <v>-4728</v>
      </c>
      <c r="K23" s="18"/>
    </row>
    <row r="24" ht="20.05" customHeight="1">
      <c r="B24" s="32">
        <v>2021</v>
      </c>
      <c r="C24" s="13">
        <v>4796</v>
      </c>
      <c r="D24" s="15">
        <v>21057</v>
      </c>
      <c r="E24" s="15">
        <f>D24-C24</f>
        <v>16261</v>
      </c>
      <c r="F24" s="15">
        <f>5771+90</f>
        <v>5861</v>
      </c>
      <c r="G24" s="15">
        <v>8936</v>
      </c>
      <c r="H24" s="15">
        <v>12121</v>
      </c>
      <c r="I24" s="15">
        <f>G24+H24-C24-E24</f>
        <v>0</v>
      </c>
      <c r="J24" s="15">
        <f>C24-G24</f>
        <v>-4140</v>
      </c>
      <c r="K24" s="15"/>
    </row>
    <row r="25" ht="20.05" customHeight="1">
      <c r="B25" s="31"/>
      <c r="C25" s="13">
        <v>3741</v>
      </c>
      <c r="D25" s="15">
        <v>20190</v>
      </c>
      <c r="E25" s="15">
        <f>D25-C25</f>
        <v>16449</v>
      </c>
      <c r="F25" s="15">
        <f>5975+108</f>
        <v>6083</v>
      </c>
      <c r="G25" s="15">
        <v>7956</v>
      </c>
      <c r="H25" s="15">
        <v>12234</v>
      </c>
      <c r="I25" s="15">
        <f>G25+H25-C25-E25</f>
        <v>0</v>
      </c>
      <c r="J25" s="15">
        <f>C25-G25</f>
        <v>-4215</v>
      </c>
      <c r="K25" s="15"/>
    </row>
    <row r="26" ht="20.05" customHeight="1">
      <c r="B26" s="31"/>
      <c r="C26" s="13">
        <v>3346</v>
      </c>
      <c r="D26" s="15">
        <v>20131</v>
      </c>
      <c r="E26" s="15">
        <f>D26-C26</f>
        <v>16785</v>
      </c>
      <c r="F26" s="15">
        <f>6189+132</f>
        <v>6321</v>
      </c>
      <c r="G26" s="15">
        <v>9063</v>
      </c>
      <c r="H26" s="15">
        <v>11068</v>
      </c>
      <c r="I26" s="15">
        <f>G26+H26-C26-E26</f>
        <v>0</v>
      </c>
      <c r="J26" s="15">
        <f>C26-G26</f>
        <v>-5717</v>
      </c>
      <c r="K26" s="15"/>
    </row>
    <row r="27" ht="20.05" customHeight="1">
      <c r="B27" s="31"/>
      <c r="C27" s="13">
        <v>3009</v>
      </c>
      <c r="D27" s="15">
        <v>19918</v>
      </c>
      <c r="E27" s="15">
        <f>D27-C27</f>
        <v>16909</v>
      </c>
      <c r="F27" s="15">
        <f>6400+151</f>
        <v>6551</v>
      </c>
      <c r="G27" s="15">
        <v>8558</v>
      </c>
      <c r="H27" s="15">
        <v>11360</v>
      </c>
      <c r="I27" s="15">
        <f>G27+H27-C27-E27</f>
        <v>0</v>
      </c>
      <c r="J27" s="15">
        <f>C27-G27</f>
        <v>-5549</v>
      </c>
      <c r="K27" s="15">
        <f>J27</f>
        <v>-5549</v>
      </c>
    </row>
    <row r="28" ht="20.05" customHeight="1">
      <c r="B28" s="32">
        <v>2022</v>
      </c>
      <c r="C28" s="13"/>
      <c r="D28" s="15"/>
      <c r="E28" s="15">
        <f>D28-C28</f>
        <v>0</v>
      </c>
      <c r="F28" s="15"/>
      <c r="G28" s="15"/>
      <c r="H28" s="15"/>
      <c r="I28" s="15"/>
      <c r="J28" s="15"/>
      <c r="K28" s="15">
        <f>'Model'!F30</f>
        <v>-4784.905301378690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3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8.30469" style="37" customWidth="1"/>
    <col min="2" max="4" width="8.99219" style="37" customWidth="1"/>
    <col min="5" max="16384" width="16.3516" style="37" customWidth="1"/>
  </cols>
  <sheetData>
    <row r="1" ht="27.65" customHeight="1">
      <c r="A1" t="s" s="2">
        <v>56</v>
      </c>
      <c r="B1" s="2"/>
      <c r="C1" s="2"/>
      <c r="D1" s="2"/>
    </row>
    <row r="2" ht="32.25" customHeight="1">
      <c r="A2" s="4"/>
      <c r="B2" t="s" s="38">
        <v>57</v>
      </c>
      <c r="C2" t="s" s="38">
        <v>37</v>
      </c>
      <c r="D2" t="s" s="38">
        <v>58</v>
      </c>
    </row>
    <row r="3" ht="20.25" customHeight="1">
      <c r="A3" s="25">
        <v>2014</v>
      </c>
      <c r="B3" s="26">
        <v>1200</v>
      </c>
      <c r="C3" s="28"/>
      <c r="D3" s="28"/>
    </row>
    <row r="4" ht="20.05" customHeight="1">
      <c r="A4" s="31"/>
      <c r="B4" s="13">
        <v>1176</v>
      </c>
      <c r="C4" s="15"/>
      <c r="D4" s="15"/>
    </row>
    <row r="5" ht="20.05" customHeight="1">
      <c r="A5" s="31"/>
      <c r="B5" s="13">
        <v>1220</v>
      </c>
      <c r="C5" s="15"/>
      <c r="D5" s="15"/>
    </row>
    <row r="6" ht="20.05" customHeight="1">
      <c r="A6" s="31"/>
      <c r="B6" s="13">
        <v>836</v>
      </c>
      <c r="C6" s="15"/>
      <c r="D6" s="15"/>
    </row>
    <row r="7" ht="20.05" customHeight="1">
      <c r="A7" s="32">
        <v>2015</v>
      </c>
      <c r="B7" s="13">
        <v>1156</v>
      </c>
      <c r="C7" s="15"/>
      <c r="D7" s="15"/>
    </row>
    <row r="8" ht="20.05" customHeight="1">
      <c r="A8" s="31"/>
      <c r="B8" s="13">
        <v>1040</v>
      </c>
      <c r="C8" s="15"/>
      <c r="D8" s="15"/>
    </row>
    <row r="9" ht="20.05" customHeight="1">
      <c r="A9" s="31"/>
      <c r="B9" s="13">
        <v>1064</v>
      </c>
      <c r="C9" s="15"/>
      <c r="D9" s="15"/>
    </row>
    <row r="10" ht="20.05" customHeight="1">
      <c r="A10" s="31"/>
      <c r="B10" s="13">
        <v>1220</v>
      </c>
      <c r="C10" s="15"/>
      <c r="D10" s="15"/>
    </row>
    <row r="11" ht="20.05" customHeight="1">
      <c r="A11" s="32">
        <v>2016</v>
      </c>
      <c r="B11" s="13">
        <v>1259</v>
      </c>
      <c r="C11" s="15"/>
      <c r="D11" s="15"/>
    </row>
    <row r="12" ht="20.05" customHeight="1">
      <c r="A12" s="31"/>
      <c r="B12" s="13">
        <v>1558</v>
      </c>
      <c r="C12" s="15"/>
      <c r="D12" s="15"/>
    </row>
    <row r="13" ht="20.05" customHeight="1">
      <c r="A13" s="31"/>
      <c r="B13" s="13">
        <v>1495</v>
      </c>
      <c r="C13" s="15"/>
      <c r="D13" s="15"/>
    </row>
    <row r="14" ht="20.05" customHeight="1">
      <c r="A14" s="31"/>
      <c r="B14" s="13">
        <v>1645</v>
      </c>
      <c r="C14" s="15"/>
      <c r="D14" s="15"/>
    </row>
    <row r="15" ht="20.05" customHeight="1">
      <c r="A15" s="32">
        <v>2017</v>
      </c>
      <c r="B15" s="13">
        <v>2130</v>
      </c>
      <c r="C15" s="15"/>
      <c r="D15" s="15"/>
    </row>
    <row r="16" ht="20.05" customHeight="1">
      <c r="A16" s="31"/>
      <c r="B16" s="13">
        <v>2210</v>
      </c>
      <c r="C16" s="15"/>
      <c r="D16" s="15"/>
    </row>
    <row r="17" ht="20.05" customHeight="1">
      <c r="A17" s="31"/>
      <c r="B17" s="13">
        <v>1960</v>
      </c>
      <c r="C17" s="15"/>
      <c r="D17" s="15"/>
    </row>
    <row r="18" ht="20.05" customHeight="1">
      <c r="A18" s="31"/>
      <c r="B18" s="13">
        <v>2020</v>
      </c>
      <c r="C18" s="15"/>
      <c r="D18" s="15"/>
    </row>
    <row r="19" ht="20.05" customHeight="1">
      <c r="A19" s="32">
        <v>2018</v>
      </c>
      <c r="B19" s="13">
        <v>2950</v>
      </c>
      <c r="C19" s="15"/>
      <c r="D19" s="15"/>
    </row>
    <row r="20" ht="20.05" customHeight="1">
      <c r="A20" s="31"/>
      <c r="B20" s="13">
        <v>2970</v>
      </c>
      <c r="C20" s="15"/>
      <c r="D20" s="15"/>
    </row>
    <row r="21" ht="20.05" customHeight="1">
      <c r="A21" s="31"/>
      <c r="B21" s="13">
        <v>2720</v>
      </c>
      <c r="C21" s="15"/>
      <c r="D21" s="15"/>
    </row>
    <row r="22" ht="20.05" customHeight="1">
      <c r="A22" s="31"/>
      <c r="B22" s="13">
        <v>2620</v>
      </c>
      <c r="C22" s="15"/>
      <c r="D22" s="15"/>
    </row>
    <row r="23" ht="20.05" customHeight="1">
      <c r="A23" s="32">
        <v>2019</v>
      </c>
      <c r="B23" s="13">
        <v>2560</v>
      </c>
      <c r="C23" s="15"/>
      <c r="D23" s="15"/>
    </row>
    <row r="24" ht="20.05" customHeight="1">
      <c r="A24" s="31"/>
      <c r="B24" s="13">
        <v>2480</v>
      </c>
      <c r="C24" s="15"/>
      <c r="D24" s="15"/>
    </row>
    <row r="25" ht="20.05" customHeight="1">
      <c r="A25" s="31"/>
      <c r="B25" s="13">
        <v>2230</v>
      </c>
      <c r="C25" s="19"/>
      <c r="D25" s="19"/>
    </row>
    <row r="26" ht="20.05" customHeight="1">
      <c r="A26" s="31"/>
      <c r="B26" s="13">
        <v>2050</v>
      </c>
      <c r="C26" s="19"/>
      <c r="D26" s="19"/>
    </row>
    <row r="27" ht="20.05" customHeight="1">
      <c r="A27" s="32">
        <v>2020</v>
      </c>
      <c r="B27" s="13">
        <v>1830.266724</v>
      </c>
      <c r="C27" s="19"/>
      <c r="D27" s="19"/>
    </row>
    <row r="28" ht="20.05" customHeight="1">
      <c r="A28" s="31"/>
      <c r="B28" s="13">
        <v>2229.866699</v>
      </c>
      <c r="C28" s="19"/>
      <c r="D28" s="19"/>
    </row>
    <row r="29" ht="20.05" customHeight="1">
      <c r="A29" s="31"/>
      <c r="B29" s="13">
        <v>2380</v>
      </c>
      <c r="C29" s="19"/>
      <c r="D29" s="19"/>
    </row>
    <row r="30" ht="20.05" customHeight="1">
      <c r="A30" s="31"/>
      <c r="B30" s="13">
        <v>2710</v>
      </c>
      <c r="C30" s="19"/>
      <c r="D30" s="19"/>
    </row>
    <row r="31" ht="20.05" customHeight="1">
      <c r="A31" s="32">
        <v>2021</v>
      </c>
      <c r="B31" s="13">
        <v>2620</v>
      </c>
      <c r="C31" s="19"/>
      <c r="D31" s="19"/>
    </row>
    <row r="32" ht="20.05" customHeight="1">
      <c r="A32" s="31"/>
      <c r="B32" s="13">
        <v>2310</v>
      </c>
      <c r="C32" s="19"/>
      <c r="D32" s="19"/>
    </row>
    <row r="33" ht="20.05" customHeight="1">
      <c r="A33" s="31"/>
      <c r="B33" s="13">
        <v>2360</v>
      </c>
      <c r="C33" s="19"/>
      <c r="D33" s="19"/>
    </row>
    <row r="34" ht="20.05" customHeight="1">
      <c r="A34" s="31"/>
      <c r="B34" s="13">
        <v>2040</v>
      </c>
      <c r="C34" s="19"/>
      <c r="D34" s="19"/>
    </row>
    <row r="35" ht="20.05" customHeight="1">
      <c r="A35" s="32">
        <v>2022</v>
      </c>
      <c r="B35" s="13">
        <v>1760</v>
      </c>
      <c r="C35" s="15">
        <f>B35</f>
        <v>1760</v>
      </c>
      <c r="D35" s="15">
        <v>2674.870327879130</v>
      </c>
    </row>
    <row r="36" ht="20.05" customHeight="1">
      <c r="A36" s="31"/>
      <c r="B36" s="13"/>
      <c r="C36" s="15">
        <f>'Model'!F43</f>
        <v>2302.276879952260</v>
      </c>
      <c r="D36" s="19"/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