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<sst xmlns="http://schemas.openxmlformats.org/spreadsheetml/2006/main" uniqueCount="45">
  <si>
    <t>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</si>
  <si>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</si>
  <si>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</si>
  <si>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</si>
  <si>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</si>
  <si>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</si>
  <si>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</si>
  <si>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</si>
  <si>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</si>
  <si>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</si>
  <si>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</si>
  <si>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</si>
  <si>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>Leases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</si>
  <si>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</si>
  <si>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</si>
  <si>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</si>
  <si>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</si>
  <si>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</si>
  <si>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</si>
  <si>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</si>
  <si>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</si>
  <si>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</si>
  <si>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</si>
  <si>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</si>
  <si>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</si>
  <si>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</si>
  <si>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</si>
  <si>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</si>
  <si>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</si>
  <si>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</si>
  <si>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</si>
  <si>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</si>
  <si>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</si>
  <si>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</si>
  <si>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</si>
  <si>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</si>
  <si>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</si>
  <si>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</si>
  <si>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>Data</t>
  </si>
  <si>
    <t xml:space="preserve">Receipts </t>
  </si>
  <si>
    <t xml:space="preserve">Leases </t>
  </si>
  <si>
    <t xml:space="preserve">Interest </t>
  </si>
  <si>
    <t xml:space="preserve">Assets </t>
  </si>
  <si>
    <t xml:space="preserve">Cashflow costs </t>
  </si>
  <si>
    <t>MTEL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</si>
</sst>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585261</xdr:colOff>
      <xdr:row>1</xdr:row>
      <xdr:rowOff>86507</xdr:rowOff>
    </xdr:from>
    <xdr:to>
      <xdr:col>12</xdr:col>
      <xdr:colOff>148123</xdr:colOff>
      <xdr:row>44</xdr:row>
      <xdr:rowOff>38773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23860" y="437662"/>
          <a:ext cx="8275064" cy="109047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11719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'Data '!E3/4</f>
        <v>0.0275954870932808</v>
      </c>
      <c r="C3" s="8"/>
      <c r="D3" s="8"/>
      <c r="E3" s="9">
        <f>AVERAGE(B4:E4)</f>
        <v>0.0425</v>
      </c>
    </row>
    <row r="4" ht="20.05" customHeight="1">
      <c r="A4" t="s" s="10">
        <v>4</v>
      </c>
      <c r="B4" s="11">
        <v>0.04</v>
      </c>
      <c r="C4" s="12">
        <v>0.04</v>
      </c>
      <c r="D4" s="12">
        <v>0.04</v>
      </c>
      <c r="E4" s="12">
        <v>0.05</v>
      </c>
    </row>
    <row r="5" ht="20.05" customHeight="1">
      <c r="A5" t="s" s="10">
        <v>5</v>
      </c>
      <c r="B5" s="13">
        <f>'Data '!E5*(1+B4)</f>
        <v>1786.096</v>
      </c>
      <c r="C5" s="14">
        <f>B5*(1+C4)</f>
        <v>1857.53984</v>
      </c>
      <c r="D5" s="14">
        <f>C5*(1+D4)</f>
        <v>1931.8414336</v>
      </c>
      <c r="E5" s="14">
        <f>D5*(1+E4)</f>
        <v>2028.43350528</v>
      </c>
    </row>
    <row r="6" ht="20.05" customHeight="1">
      <c r="A6" t="s" s="10">
        <v>6</v>
      </c>
      <c r="B6" s="15">
        <f>'Data '!E20</f>
        <v>-0.443009782228951</v>
      </c>
      <c r="C6" s="16">
        <f>B6</f>
        <v>-0.443009782228951</v>
      </c>
      <c r="D6" s="16">
        <f>C6</f>
        <v>-0.443009782228951</v>
      </c>
      <c r="E6" s="16">
        <f>D6</f>
        <v>-0.443009782228951</v>
      </c>
    </row>
    <row r="7" ht="20.05" customHeight="1">
      <c r="A7" t="s" s="10">
        <v>7</v>
      </c>
      <c r="B7" s="13">
        <f>B5*B6</f>
        <v>-791.258</v>
      </c>
      <c r="C7" s="14">
        <f>C5*C6</f>
        <v>-822.90832</v>
      </c>
      <c r="D7" s="14">
        <f>D5*D6</f>
        <v>-855.824652800001</v>
      </c>
      <c r="E7" s="14">
        <f>E5*E6</f>
        <v>-898.615885440001</v>
      </c>
    </row>
    <row r="8" ht="20.05" customHeight="1">
      <c r="A8" t="s" s="10">
        <v>8</v>
      </c>
      <c r="B8" s="13">
        <f>-'Data '!E18/4</f>
        <v>-611.3</v>
      </c>
      <c r="C8" s="14">
        <f>B8</f>
        <v>-611.3</v>
      </c>
      <c r="D8" s="14">
        <f>C8</f>
        <v>-611.3</v>
      </c>
      <c r="E8" s="14">
        <f>D8</f>
        <v>-611.3</v>
      </c>
    </row>
    <row r="9" ht="20.05" customHeight="1">
      <c r="A9" t="s" s="10">
        <v>9</v>
      </c>
      <c r="B9" s="13">
        <f>B5+B7+B8</f>
        <v>383.538</v>
      </c>
      <c r="C9" s="14">
        <f>C5+C7+C8</f>
        <v>423.33152</v>
      </c>
      <c r="D9" s="14">
        <f>D5+D7+D8</f>
        <v>464.716780799999</v>
      </c>
      <c r="E9" s="14">
        <f>E5+E7+E8</f>
        <v>518.517619839999</v>
      </c>
    </row>
    <row r="10" ht="20.05" customHeight="1">
      <c r="A10" t="s" s="10">
        <v>10</v>
      </c>
      <c r="B10" s="13">
        <f>B5+B7</f>
        <v>994.838</v>
      </c>
      <c r="C10" s="14">
        <f>C5+C7</f>
        <v>1034.63152</v>
      </c>
      <c r="D10" s="14">
        <f>D5+D7</f>
        <v>1076.0167808</v>
      </c>
      <c r="E10" s="14">
        <f>E5+E7</f>
        <v>1129.81761984</v>
      </c>
    </row>
    <row r="11" ht="20.05" customHeight="1">
      <c r="A11" t="s" s="10">
        <v>11</v>
      </c>
      <c r="B11" s="13">
        <f>AVERAGE('Data '!D9:E9)/4</f>
        <v>-2222.2875</v>
      </c>
      <c r="C11" s="14">
        <f>B11</f>
        <v>-2222.2875</v>
      </c>
      <c r="D11" s="14">
        <f>C11</f>
        <v>-2222.2875</v>
      </c>
      <c r="E11" s="14">
        <f>D11</f>
        <v>-2222.2875</v>
      </c>
    </row>
    <row r="12" ht="20.05" customHeight="1">
      <c r="A12" t="s" s="10">
        <v>12</v>
      </c>
      <c r="B12" s="13">
        <f>'Data '!E10/4</f>
        <v>-583.1</v>
      </c>
      <c r="C12" s="14">
        <f>B12</f>
        <v>-583.1</v>
      </c>
      <c r="D12" s="14">
        <f>C12</f>
        <v>-583.1</v>
      </c>
      <c r="E12" s="14">
        <f>D12</f>
        <v>-583.1</v>
      </c>
    </row>
    <row r="13" ht="20.05" customHeight="1">
      <c r="A13" t="s" s="10">
        <v>13</v>
      </c>
      <c r="B13" s="13">
        <f>-'Data '!E25/20</f>
        <v>-1204.15</v>
      </c>
      <c r="C13" s="14">
        <f>-B23/20</f>
        <v>-1143.9425</v>
      </c>
      <c r="D13" s="14">
        <f>-C23/20</f>
        <v>-1086.745375</v>
      </c>
      <c r="E13" s="14">
        <f>-D23/20</f>
        <v>-1032.40810625</v>
      </c>
    </row>
    <row r="14" ht="20.05" customHeight="1">
      <c r="A14" t="s" s="10">
        <v>14</v>
      </c>
      <c r="B14" s="13">
        <f>IF(B9&gt;0,-B9*0,0)</f>
        <v>0</v>
      </c>
      <c r="C14" s="14">
        <f>IF(C9&gt;0,-C9*0,0)</f>
        <v>0</v>
      </c>
      <c r="D14" s="14">
        <f>IF(D9&gt;0,-D9*0,0)</f>
        <v>0</v>
      </c>
      <c r="E14" s="14">
        <f>IF(E9&gt;0,-E9*0,0)</f>
        <v>0</v>
      </c>
    </row>
    <row r="15" ht="20.05" customHeight="1">
      <c r="A15" t="s" s="10">
        <v>15</v>
      </c>
      <c r="B15" s="13">
        <f>B10+B11+B13+B14</f>
        <v>-2431.5995</v>
      </c>
      <c r="C15" s="14">
        <f>C10+C11+C13+C14</f>
        <v>-2331.59848</v>
      </c>
      <c r="D15" s="14">
        <f>D10+D11+D13+D14</f>
        <v>-2233.0160942</v>
      </c>
      <c r="E15" s="14">
        <f>E10+E11+E13+E14</f>
        <v>-2124.87798641</v>
      </c>
    </row>
    <row r="16" ht="20.05" customHeight="1">
      <c r="A16" t="s" s="10">
        <v>16</v>
      </c>
      <c r="B16" s="13">
        <f>-MIN(0,B15)</f>
        <v>2431.5995</v>
      </c>
      <c r="C16" s="14">
        <f>-MIN(B24,C15)</f>
        <v>2331.59848</v>
      </c>
      <c r="D16" s="14">
        <f>-MIN(C24,D15)</f>
        <v>2233.0160942</v>
      </c>
      <c r="E16" s="14">
        <f>-MIN(D24,E15)</f>
        <v>2124.87798641</v>
      </c>
    </row>
    <row r="17" ht="20.05" customHeight="1">
      <c r="A17" t="s" s="10">
        <v>17</v>
      </c>
      <c r="B17" s="13">
        <f>'Data '!E16</f>
        <v>19133.387</v>
      </c>
      <c r="C17" s="14">
        <f>B19</f>
        <v>19133.387</v>
      </c>
      <c r="D17" s="14">
        <f>C19</f>
        <v>19133.387</v>
      </c>
      <c r="E17" s="14">
        <f>D19</f>
        <v>19133.387</v>
      </c>
    </row>
    <row r="18" ht="20.05" customHeight="1">
      <c r="A18" t="s" s="10">
        <v>18</v>
      </c>
      <c r="B18" s="13">
        <f>B10+B11+B13+B14+B16</f>
        <v>0</v>
      </c>
      <c r="C18" s="14">
        <f>C10+C11+C13+C14+C16</f>
        <v>0</v>
      </c>
      <c r="D18" s="14">
        <f>D10+D11+D13+D14+D16</f>
        <v>0</v>
      </c>
      <c r="E18" s="14">
        <f>E10+E11+E13+E14+E16</f>
        <v>0</v>
      </c>
    </row>
    <row r="19" ht="20.05" customHeight="1">
      <c r="A19" t="s" s="10">
        <v>19</v>
      </c>
      <c r="B19" s="13">
        <f>B17+B18</f>
        <v>19133.387</v>
      </c>
      <c r="C19" s="14">
        <f>C17+C18</f>
        <v>19133.387</v>
      </c>
      <c r="D19" s="14">
        <f>D17+D18</f>
        <v>19133.387</v>
      </c>
      <c r="E19" s="14">
        <f>E17+E18</f>
        <v>19133.387</v>
      </c>
    </row>
    <row r="20" ht="20.05" customHeight="1">
      <c r="A20" t="s" s="17">
        <v>20</v>
      </c>
      <c r="B20" s="18"/>
      <c r="C20" s="19"/>
      <c r="D20" s="19"/>
      <c r="E20" s="19"/>
    </row>
    <row r="21" ht="20.05" customHeight="1">
      <c r="A21" t="s" s="10">
        <v>21</v>
      </c>
      <c r="B21" s="13">
        <f>'Data '!E24+'Data '!E23-B11</f>
        <v>49027.9005</v>
      </c>
      <c r="C21" s="14">
        <f>B21-C11</f>
        <v>51250.188</v>
      </c>
      <c r="D21" s="14">
        <f>C21-D11</f>
        <v>53472.4755</v>
      </c>
      <c r="E21" s="14">
        <f>D21-E11</f>
        <v>55694.763</v>
      </c>
    </row>
    <row r="22" ht="20.05" customHeight="1">
      <c r="A22" t="s" s="10">
        <v>22</v>
      </c>
      <c r="B22" s="13">
        <f>'Data '!E23-B8</f>
        <v>8822.299999999999</v>
      </c>
      <c r="C22" s="14">
        <f>B22-C8</f>
        <v>9433.6</v>
      </c>
      <c r="D22" s="14">
        <f>C22-D8</f>
        <v>10044.9</v>
      </c>
      <c r="E22" s="14">
        <f>D22-E8</f>
        <v>10656.2</v>
      </c>
    </row>
    <row r="23" ht="20.05" customHeight="1">
      <c r="A23" t="s" s="10">
        <v>13</v>
      </c>
      <c r="B23" s="13">
        <f>'Data '!E25+B13</f>
        <v>22878.85</v>
      </c>
      <c r="C23" s="14">
        <f>B23+C13</f>
        <v>21734.9075</v>
      </c>
      <c r="D23" s="14">
        <f>C23+D13</f>
        <v>20648.162125</v>
      </c>
      <c r="E23" s="14">
        <f>D23+E13</f>
        <v>19615.75401875</v>
      </c>
    </row>
    <row r="24" ht="20.05" customHeight="1">
      <c r="A24" t="s" s="10">
        <v>16</v>
      </c>
      <c r="B24" s="13">
        <f>B16</f>
        <v>2431.5995</v>
      </c>
      <c r="C24" s="14">
        <f>B24+C16</f>
        <v>4763.19798</v>
      </c>
      <c r="D24" s="14">
        <f>C24+D16</f>
        <v>6996.2140742</v>
      </c>
      <c r="E24" s="14">
        <f>D24+E16</f>
        <v>9121.092060610001</v>
      </c>
    </row>
    <row r="25" ht="20.05" customHeight="1">
      <c r="A25" t="s" s="10">
        <v>14</v>
      </c>
      <c r="B25" s="13">
        <f>'Data '!E26+B14+B9</f>
        <v>34028.538</v>
      </c>
      <c r="C25" s="14">
        <f>B25+C14+C9</f>
        <v>34451.86952</v>
      </c>
      <c r="D25" s="14">
        <f>C25+D14+D9</f>
        <v>34916.5863008</v>
      </c>
      <c r="E25" s="14">
        <f>D25+E14+E9</f>
        <v>35435.10392064</v>
      </c>
    </row>
    <row r="26" ht="20.05" customHeight="1">
      <c r="A26" t="s" s="10">
        <v>23</v>
      </c>
      <c r="B26" s="13">
        <f>B23+B24+B25-B19-(B21-B22)</f>
        <v>0</v>
      </c>
      <c r="C26" s="14">
        <f>C23+C24+C25-C19-(C21-C22)</f>
        <v>0</v>
      </c>
      <c r="D26" s="14">
        <f>D23+D24+D25-D19-(D21-D22)</f>
        <v>0</v>
      </c>
      <c r="E26" s="14">
        <f>E23+E24+E25-E19-(E21-E22)</f>
        <v>0</v>
      </c>
    </row>
    <row r="27" ht="20.05" customHeight="1">
      <c r="A27" t="s" s="10">
        <v>24</v>
      </c>
      <c r="B27" s="13">
        <f>B19-B23-B24</f>
        <v>-6177.0625</v>
      </c>
      <c r="C27" s="14">
        <f>C19-C23-C24</f>
        <v>-7364.71848</v>
      </c>
      <c r="D27" s="14">
        <f>D19-D23-D24</f>
        <v>-8510.989199199999</v>
      </c>
      <c r="E27" s="14">
        <f>E19-E23-E24</f>
        <v>-9603.45907936</v>
      </c>
    </row>
    <row r="28" ht="20.05" customHeight="1">
      <c r="A28" t="s" s="17">
        <v>25</v>
      </c>
      <c r="B28" s="18"/>
      <c r="C28" s="19"/>
      <c r="D28" s="19"/>
      <c r="E28" s="19"/>
    </row>
    <row r="29" ht="20.05" customHeight="1">
      <c r="A29" t="s" s="10">
        <v>26</v>
      </c>
      <c r="B29" s="13">
        <f>'Data '!E33-(B13+B14)</f>
        <v>-37676.503</v>
      </c>
      <c r="C29" s="14">
        <f>B29-(C13+C16+C14)</f>
        <v>-38864.15898</v>
      </c>
      <c r="D29" s="14">
        <f>C29-(D13+D16+D14)</f>
        <v>-40010.4296992</v>
      </c>
      <c r="E29" s="14">
        <f>D29-(E13+E16+E14)</f>
        <v>-41102.89957936</v>
      </c>
    </row>
    <row r="30" ht="20.05" customHeight="1">
      <c r="A30" t="s" s="10">
        <v>27</v>
      </c>
      <c r="B30" s="18"/>
      <c r="C30" s="19"/>
      <c r="D30" s="19"/>
      <c r="E30" s="14">
        <v>65559589150720</v>
      </c>
    </row>
    <row r="31" ht="20.05" customHeight="1">
      <c r="A31" t="s" s="10">
        <v>27</v>
      </c>
      <c r="B31" s="18"/>
      <c r="C31" s="19"/>
      <c r="D31" s="19"/>
      <c r="E31" s="14">
        <f>E30/1000000000</f>
        <v>65559.58915072</v>
      </c>
    </row>
    <row r="32" ht="20.05" customHeight="1">
      <c r="A32" t="s" s="10">
        <v>28</v>
      </c>
      <c r="B32" s="18"/>
      <c r="C32" s="19"/>
      <c r="D32" s="19"/>
      <c r="E32" s="20">
        <f>E31/(E19+E21-E22)</f>
        <v>1.02162376475579</v>
      </c>
    </row>
    <row r="33" ht="20.05" customHeight="1">
      <c r="A33" t="s" s="10">
        <v>29</v>
      </c>
      <c r="B33" s="18"/>
      <c r="C33" s="19"/>
      <c r="D33" s="19"/>
      <c r="E33" s="16">
        <f>-(B14+C14+D14+E14)/E31</f>
        <v>0</v>
      </c>
    </row>
    <row r="34" ht="20.05" customHeight="1">
      <c r="A34" t="s" s="10">
        <v>3</v>
      </c>
      <c r="B34" s="18"/>
      <c r="C34" s="19"/>
      <c r="D34" s="19"/>
      <c r="E34" s="14">
        <f>SUM(B10:E10)</f>
        <v>4235.30392064</v>
      </c>
    </row>
    <row r="35" ht="20.05" customHeight="1">
      <c r="A35" t="s" s="10">
        <v>30</v>
      </c>
      <c r="B35" s="18"/>
      <c r="C35" s="19"/>
      <c r="D35" s="19"/>
      <c r="E35" s="21"/>
    </row>
    <row r="36" ht="20.05" customHeight="1">
      <c r="A36" t="s" s="10">
        <v>25</v>
      </c>
      <c r="B36" s="18"/>
      <c r="C36" s="19"/>
      <c r="D36" s="19"/>
      <c r="E36" s="14">
        <f>E31/E34</f>
        <v>15.4793116100186</v>
      </c>
    </row>
    <row r="37" ht="20.05" customHeight="1">
      <c r="A37" t="s" s="10">
        <v>31</v>
      </c>
      <c r="B37" s="18"/>
      <c r="C37" s="19"/>
      <c r="D37" s="19"/>
      <c r="E37" s="22">
        <v>12</v>
      </c>
    </row>
    <row r="38" ht="20.05" customHeight="1">
      <c r="A38" t="s" s="10">
        <v>32</v>
      </c>
      <c r="B38" s="18"/>
      <c r="C38" s="19"/>
      <c r="D38" s="19"/>
      <c r="E38" s="23">
        <f>E34*E37</f>
        <v>50823.64704768</v>
      </c>
    </row>
    <row r="39" ht="20.05" customHeight="1">
      <c r="A39" t="s" s="10">
        <v>33</v>
      </c>
      <c r="B39" s="18"/>
      <c r="C39" s="19"/>
      <c r="D39" s="19"/>
      <c r="E39" s="14">
        <f>E31/E41</f>
        <v>83.515400192</v>
      </c>
    </row>
    <row r="40" ht="20.05" customHeight="1">
      <c r="A40" t="s" s="10">
        <v>34</v>
      </c>
      <c r="B40" s="18"/>
      <c r="C40" s="19"/>
      <c r="D40" s="19"/>
      <c r="E40" s="14">
        <f>E38/E39</f>
        <v>608.554193967072</v>
      </c>
    </row>
    <row r="41" ht="20.05" customHeight="1">
      <c r="A41" t="s" s="10">
        <v>35</v>
      </c>
      <c r="B41" s="18"/>
      <c r="C41" s="19"/>
      <c r="D41" s="19"/>
      <c r="E41" s="14">
        <f>'Data '!F35</f>
        <v>785</v>
      </c>
    </row>
    <row r="42" ht="20.05" customHeight="1">
      <c r="A42" t="s" s="10">
        <v>36</v>
      </c>
      <c r="B42" s="18"/>
      <c r="C42" s="19"/>
      <c r="D42" s="19"/>
      <c r="E42" s="16">
        <f>E40/E41-1</f>
        <v>-0.224771727430482</v>
      </c>
    </row>
    <row r="43" ht="20.05" customHeight="1">
      <c r="A43" t="s" s="10">
        <v>37</v>
      </c>
      <c r="B43" s="18"/>
      <c r="C43" s="19"/>
      <c r="D43" s="19"/>
      <c r="E43" s="16">
        <f>'Data '!E4/'Data '!D4-1</f>
        <v>0.110381948373123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3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4" customWidth="1"/>
    <col min="2" max="9" width="9.875" style="24" customWidth="1"/>
    <col min="10" max="16384" width="16.3516" style="24" customWidth="1"/>
  </cols>
  <sheetData>
    <row r="1" ht="27.65" customHeight="1">
      <c r="A1" t="s" s="2">
        <v>38</v>
      </c>
      <c r="B1" s="2"/>
      <c r="C1" s="2"/>
      <c r="D1" s="2"/>
      <c r="E1" s="2"/>
      <c r="F1" s="2"/>
      <c r="G1" s="2"/>
      <c r="H1" s="2"/>
      <c r="I1" s="2"/>
    </row>
    <row r="2" ht="20.25" customHeight="1">
      <c r="A2" t="s" s="25">
        <v>1</v>
      </c>
      <c r="B2" s="26">
        <v>2018</v>
      </c>
      <c r="C2" s="26">
        <v>2019</v>
      </c>
      <c r="D2" s="26">
        <v>2020</v>
      </c>
      <c r="E2" s="26">
        <v>2021</v>
      </c>
      <c r="F2" s="26">
        <v>2022</v>
      </c>
      <c r="G2" s="4"/>
      <c r="H2" s="4"/>
      <c r="I2" s="27"/>
    </row>
    <row r="3" ht="20.25" customHeight="1">
      <c r="A3" t="s" s="6">
        <v>4</v>
      </c>
      <c r="B3" s="28"/>
      <c r="C3" s="29">
        <f>C4/B4-1</f>
        <v>0.177785640050417</v>
      </c>
      <c r="D3" s="29">
        <f>D4/C4-1</f>
        <v>0.161538028274787</v>
      </c>
      <c r="E3" s="29">
        <f>E4/D4-1</f>
        <v>0.110381948373123</v>
      </c>
      <c r="F3" s="29"/>
      <c r="G3" s="29"/>
      <c r="H3" s="29"/>
      <c r="I3" s="29"/>
    </row>
    <row r="4" ht="20.05" customHeight="1">
      <c r="A4" t="s" s="17">
        <v>5</v>
      </c>
      <c r="B4" s="13">
        <v>4522.3</v>
      </c>
      <c r="C4" s="14">
        <v>5326.3</v>
      </c>
      <c r="D4" s="14">
        <v>6186.7</v>
      </c>
      <c r="E4" s="14">
        <v>6869.6</v>
      </c>
      <c r="F4" s="14"/>
      <c r="G4" s="19"/>
      <c r="H4" s="19"/>
      <c r="I4" s="19"/>
    </row>
    <row r="5" ht="20.05" customHeight="1">
      <c r="A5" t="s" s="17">
        <v>5</v>
      </c>
      <c r="B5" s="13">
        <f>B4/4</f>
        <v>1130.575</v>
      </c>
      <c r="C5" s="14">
        <f>C4/4</f>
        <v>1331.575</v>
      </c>
      <c r="D5" s="14">
        <f>D4/4</f>
        <v>1546.675</v>
      </c>
      <c r="E5" s="14">
        <f>E4/4</f>
        <v>1717.4</v>
      </c>
      <c r="F5" s="14"/>
      <c r="G5" s="14"/>
      <c r="H5" s="14"/>
      <c r="I5" s="14"/>
    </row>
    <row r="6" ht="20.05" customHeight="1">
      <c r="A6" t="s" s="17">
        <v>31</v>
      </c>
      <c r="B6" s="13"/>
      <c r="C6" s="14"/>
      <c r="D6" s="14"/>
      <c r="E6" s="14"/>
      <c r="F6" s="14">
        <f>'Model'!B5</f>
        <v>1786.096</v>
      </c>
      <c r="G6" s="14">
        <f>'Model'!B5</f>
        <v>1786.096</v>
      </c>
      <c r="H6" s="14">
        <f>'Model'!C5</f>
        <v>1857.53984</v>
      </c>
      <c r="I6" s="14">
        <f>'Model'!D5</f>
        <v>1931.8414336</v>
      </c>
    </row>
    <row r="7" ht="20.05" customHeight="1">
      <c r="A7" t="s" s="17">
        <v>39</v>
      </c>
      <c r="B7" s="13">
        <v>3212.5</v>
      </c>
      <c r="C7" s="14">
        <v>5691.4</v>
      </c>
      <c r="D7" s="14">
        <v>5998.6</v>
      </c>
      <c r="E7" s="14">
        <v>7720.1</v>
      </c>
      <c r="F7" s="14"/>
      <c r="G7" s="14"/>
      <c r="H7" s="14"/>
      <c r="I7" s="14"/>
    </row>
    <row r="8" ht="20.05" customHeight="1">
      <c r="A8" t="s" s="17">
        <v>10</v>
      </c>
      <c r="B8" s="13">
        <v>320.01</v>
      </c>
      <c r="C8" s="14">
        <v>1666.7</v>
      </c>
      <c r="D8" s="14">
        <v>3864.7</v>
      </c>
      <c r="E8" s="14">
        <v>5363.2</v>
      </c>
      <c r="F8" s="14"/>
      <c r="G8" s="14"/>
      <c r="H8" s="14"/>
      <c r="I8" s="14"/>
    </row>
    <row r="9" ht="20.05" customHeight="1">
      <c r="A9" t="s" s="17">
        <v>11</v>
      </c>
      <c r="B9" s="13">
        <v>-1401.1</v>
      </c>
      <c r="C9" s="14">
        <v>-6294.6</v>
      </c>
      <c r="D9" s="14">
        <v>-5181.3</v>
      </c>
      <c r="E9" s="14">
        <v>-12597</v>
      </c>
      <c r="F9" s="14"/>
      <c r="G9" s="14"/>
      <c r="H9" s="14"/>
      <c r="I9" s="14"/>
    </row>
    <row r="10" ht="20.05" customHeight="1">
      <c r="A10" t="s" s="17">
        <v>40</v>
      </c>
      <c r="B10" s="13">
        <v>-10.1</v>
      </c>
      <c r="C10" s="14">
        <v>-61.7</v>
      </c>
      <c r="D10" s="14">
        <f>-1436.2-141.9</f>
        <v>-1578.1</v>
      </c>
      <c r="E10" s="14">
        <v>-2332.4</v>
      </c>
      <c r="F10" s="14"/>
      <c r="G10" s="14"/>
      <c r="H10" s="14"/>
      <c r="I10" s="14"/>
    </row>
    <row r="11" ht="20.05" customHeight="1">
      <c r="A11" t="s" s="17">
        <v>41</v>
      </c>
      <c r="B11" s="13">
        <v>-541.1</v>
      </c>
      <c r="C11" s="14">
        <v>-773.8</v>
      </c>
      <c r="D11" s="14">
        <v>-576.1</v>
      </c>
      <c r="E11" s="14">
        <v>-827.4</v>
      </c>
      <c r="F11" s="14"/>
      <c r="G11" s="14"/>
      <c r="H11" s="14"/>
      <c r="I11" s="14"/>
    </row>
    <row r="12" ht="20.05" customHeight="1">
      <c r="A12" t="s" s="17">
        <v>13</v>
      </c>
      <c r="B12" s="13">
        <f>208.489-B10-B11-B13</f>
        <v>841.168</v>
      </c>
      <c r="C12" s="14">
        <f>4635.2-C10-C11-C13</f>
        <v>5560.6</v>
      </c>
      <c r="D12" s="14">
        <f>1485.164-D10-D11-D13</f>
        <v>3742.579</v>
      </c>
      <c r="E12" s="14">
        <f>11194-5465.4</f>
        <v>5728.6</v>
      </c>
      <c r="F12" s="14"/>
      <c r="G12" s="14"/>
      <c r="H12" s="14"/>
      <c r="I12" s="14"/>
    </row>
    <row r="13" ht="20.05" customHeight="1">
      <c r="A13" t="s" s="17">
        <v>14</v>
      </c>
      <c r="B13" s="13">
        <v>-81.479</v>
      </c>
      <c r="C13" s="14">
        <v>-89.90000000000001</v>
      </c>
      <c r="D13" s="14">
        <v>-103.215</v>
      </c>
      <c r="E13" s="14">
        <f>18463.3+7000-2181</f>
        <v>23282.3</v>
      </c>
      <c r="F13" s="14"/>
      <c r="G13" s="14"/>
      <c r="H13" s="14"/>
      <c r="I13" s="14"/>
    </row>
    <row r="14" ht="20.05" customHeight="1">
      <c r="A14" t="s" s="17">
        <v>17</v>
      </c>
      <c r="B14" s="13">
        <v>1188.724</v>
      </c>
      <c r="C14" s="14">
        <f>B16+24.1</f>
        <v>340.223</v>
      </c>
      <c r="D14" s="14">
        <f>C16</f>
        <v>347.523</v>
      </c>
      <c r="E14" s="14">
        <f>D16</f>
        <v>516.087</v>
      </c>
      <c r="F14" s="14"/>
      <c r="G14" s="14"/>
      <c r="H14" s="14"/>
      <c r="I14" s="14"/>
    </row>
    <row r="15" ht="20.05" customHeight="1">
      <c r="A15" t="s" s="17">
        <v>18</v>
      </c>
      <c r="B15" s="13">
        <f>B8+B9+B10+B11+B12+B13</f>
        <v>-872.601</v>
      </c>
      <c r="C15" s="14">
        <f>C8+C9+C10+C11+C12+C13</f>
        <v>7.3</v>
      </c>
      <c r="D15" s="14">
        <f>D8+D9+D10+D11+D12+D13</f>
        <v>168.564</v>
      </c>
      <c r="E15" s="14">
        <f>E8+E9+E10+E11+E12+E13</f>
        <v>18617.3</v>
      </c>
      <c r="F15" s="14"/>
      <c r="G15" s="19"/>
      <c r="H15" s="19"/>
      <c r="I15" s="19"/>
    </row>
    <row r="16" ht="20.05" customHeight="1">
      <c r="A16" t="s" s="17">
        <v>19</v>
      </c>
      <c r="B16" s="13">
        <f>B14+B15</f>
        <v>316.123</v>
      </c>
      <c r="C16" s="14">
        <f>C14+C15</f>
        <v>347.523</v>
      </c>
      <c r="D16" s="14">
        <f>D14+D15</f>
        <v>516.087</v>
      </c>
      <c r="E16" s="14">
        <f>E14+E15</f>
        <v>19133.387</v>
      </c>
      <c r="F16" s="14"/>
      <c r="G16" s="19"/>
      <c r="H16" s="19"/>
      <c r="I16" s="19"/>
    </row>
    <row r="17" ht="20.05" customHeight="1">
      <c r="A17" s="30"/>
      <c r="B17" s="13"/>
      <c r="C17" s="14"/>
      <c r="D17" s="14"/>
      <c r="E17" s="14"/>
      <c r="F17" s="14"/>
      <c r="G17" s="19"/>
      <c r="H17" s="19"/>
      <c r="I17" s="19"/>
    </row>
    <row r="18" ht="20.05" customHeight="1">
      <c r="A18" t="s" s="17">
        <v>8</v>
      </c>
      <c r="B18" s="13">
        <f>921+151</f>
        <v>1072</v>
      </c>
      <c r="C18" s="14">
        <f>1056+242</f>
        <v>1298</v>
      </c>
      <c r="D18" s="14">
        <f>1414+1072</f>
        <v>2486</v>
      </c>
      <c r="E18" s="14">
        <f>1317+1128.2</f>
        <v>2445.2</v>
      </c>
      <c r="F18" s="14"/>
      <c r="G18" s="14"/>
      <c r="H18" s="14"/>
      <c r="I18" s="14"/>
    </row>
    <row r="19" ht="20.05" customHeight="1">
      <c r="A19" t="s" s="17">
        <v>9</v>
      </c>
      <c r="B19" s="13">
        <v>449.632</v>
      </c>
      <c r="C19" s="14">
        <v>493.34</v>
      </c>
      <c r="D19" s="14">
        <v>601.96</v>
      </c>
      <c r="E19" s="14">
        <v>1381.1</v>
      </c>
      <c r="F19" s="14"/>
      <c r="G19" s="14"/>
      <c r="H19" s="14"/>
      <c r="I19" s="14"/>
    </row>
    <row r="20" ht="20.05" customHeight="1">
      <c r="A20" t="s" s="17">
        <v>6</v>
      </c>
      <c r="B20" s="15">
        <f>(B18+B19-B4)/B4</f>
        <v>-0.663526966366672</v>
      </c>
      <c r="C20" s="16">
        <f>(C18+C19-C4)/C4</f>
        <v>-0.663680228301072</v>
      </c>
      <c r="D20" s="16">
        <f>(D18+D19-D4)/D4</f>
        <v>-0.500871223754182</v>
      </c>
      <c r="E20" s="16">
        <f>(E18+E19-E4)/E4</f>
        <v>-0.443009782228951</v>
      </c>
      <c r="F20" s="19"/>
      <c r="G20" s="19"/>
      <c r="H20" s="16"/>
      <c r="I20" s="16"/>
    </row>
    <row r="21" ht="20.05" customHeight="1">
      <c r="A21" t="s" s="17">
        <v>31</v>
      </c>
      <c r="B21" s="13"/>
      <c r="C21" s="14"/>
      <c r="D21" s="14"/>
      <c r="E21" s="16">
        <f>E20</f>
        <v>-0.443009782228951</v>
      </c>
      <c r="F21" s="16">
        <f>'Model'!B6</f>
        <v>-0.443009782228951</v>
      </c>
      <c r="G21" s="14"/>
      <c r="H21" s="14"/>
      <c r="I21" s="14"/>
    </row>
    <row r="22" ht="20.05" customHeight="1">
      <c r="A22" t="s" s="17">
        <v>42</v>
      </c>
      <c r="B22" s="13">
        <v>13053.2</v>
      </c>
      <c r="C22" s="14">
        <v>20091.2</v>
      </c>
      <c r="D22" s="14">
        <v>25285.2</v>
      </c>
      <c r="E22" s="14">
        <v>57728</v>
      </c>
      <c r="F22" s="14"/>
      <c r="G22" s="14"/>
      <c r="H22" s="14"/>
      <c r="I22" s="14"/>
    </row>
    <row r="23" ht="20.05" customHeight="1">
      <c r="A23" t="s" s="17">
        <v>22</v>
      </c>
      <c r="B23" s="13">
        <v>3712.5</v>
      </c>
      <c r="C23" s="14">
        <f>5118+92+52</f>
        <v>5262</v>
      </c>
      <c r="D23" s="14">
        <f>6402+239+204</f>
        <v>6845</v>
      </c>
      <c r="E23" s="14">
        <f>382+7602+227</f>
        <v>8211</v>
      </c>
      <c r="F23" s="14"/>
      <c r="G23" s="14"/>
      <c r="H23" s="23"/>
      <c r="I23" s="23"/>
    </row>
    <row r="24" ht="20.05" customHeight="1">
      <c r="A24" t="s" s="17">
        <v>21</v>
      </c>
      <c r="B24" s="13">
        <f>B22-B16</f>
        <v>12737.077</v>
      </c>
      <c r="C24" s="14">
        <f>C22-C16</f>
        <v>19743.677</v>
      </c>
      <c r="D24" s="14">
        <f>D22-D16</f>
        <v>24769.113</v>
      </c>
      <c r="E24" s="14">
        <f>E22-E16</f>
        <v>38594.613</v>
      </c>
      <c r="F24" s="14"/>
      <c r="G24" s="19"/>
      <c r="H24" s="19"/>
      <c r="I24" s="19"/>
    </row>
    <row r="25" ht="20.05" customHeight="1">
      <c r="A25" t="s" s="17">
        <v>13</v>
      </c>
      <c r="B25" s="13">
        <v>10167.3</v>
      </c>
      <c r="C25" s="14">
        <v>12359.9</v>
      </c>
      <c r="D25" s="14">
        <v>17122.1</v>
      </c>
      <c r="E25" s="14">
        <v>24083</v>
      </c>
      <c r="F25" s="23"/>
      <c r="G25" s="19"/>
      <c r="H25" s="19"/>
      <c r="I25" s="19"/>
    </row>
    <row r="26" ht="20.05" customHeight="1">
      <c r="A26" t="s" s="17">
        <v>14</v>
      </c>
      <c r="B26" s="13">
        <v>2885.9</v>
      </c>
      <c r="C26" s="14">
        <v>7731.3</v>
      </c>
      <c r="D26" s="14">
        <v>8163.2</v>
      </c>
      <c r="E26" s="14">
        <v>33645</v>
      </c>
      <c r="F26" s="23"/>
      <c r="G26" s="19"/>
      <c r="H26" s="19"/>
      <c r="I26" s="19"/>
    </row>
    <row r="27" ht="20.05" customHeight="1">
      <c r="A27" t="s" s="17">
        <v>23</v>
      </c>
      <c r="B27" s="13">
        <f>B25+B26-B16-B24</f>
        <v>0</v>
      </c>
      <c r="C27" s="14">
        <f>C25+C26-C16-C24</f>
        <v>0</v>
      </c>
      <c r="D27" s="14">
        <f>D25+D26-D16-D24</f>
        <v>0.1</v>
      </c>
      <c r="E27" s="14">
        <f>E25+E26-E16-E24</f>
        <v>0</v>
      </c>
      <c r="F27" s="14"/>
      <c r="G27" s="19"/>
      <c r="H27" s="19"/>
      <c r="I27" s="19"/>
    </row>
    <row r="28" ht="20.05" customHeight="1">
      <c r="A28" t="s" s="17">
        <v>24</v>
      </c>
      <c r="B28" s="13">
        <f>B16-B25</f>
        <v>-9851.177</v>
      </c>
      <c r="C28" s="14">
        <f>C16-C25</f>
        <v>-12012.377</v>
      </c>
      <c r="D28" s="14">
        <f>D16-D25</f>
        <v>-16606.013</v>
      </c>
      <c r="E28" s="14">
        <f>E16-E25</f>
        <v>-4949.613</v>
      </c>
      <c r="F28" s="19"/>
      <c r="G28" s="19"/>
      <c r="H28" s="19"/>
      <c r="I28" s="19"/>
    </row>
    <row r="29" ht="20.05" customHeight="1">
      <c r="A29" t="s" s="17">
        <v>31</v>
      </c>
      <c r="B29" s="15"/>
      <c r="C29" s="16"/>
      <c r="D29" s="16"/>
      <c r="E29" s="14">
        <f>E28</f>
        <v>-4949.613</v>
      </c>
      <c r="F29" s="14">
        <f>'Model'!E27</f>
        <v>-9603.45907936</v>
      </c>
      <c r="G29" s="19"/>
      <c r="H29" s="19"/>
      <c r="I29" s="19"/>
    </row>
    <row r="30" ht="20.05" customHeight="1">
      <c r="A30" t="s" s="17">
        <v>43</v>
      </c>
      <c r="B30" s="15">
        <f>(B8+B10+B11-B7)/B7</f>
        <v>-1.07196575875486</v>
      </c>
      <c r="C30" s="16">
        <f>(C8+C10+C11-C7)/C7</f>
        <v>-0.853955090135995</v>
      </c>
      <c r="D30" s="16">
        <f>(D8+D10+D11-D7)/D7</f>
        <v>-0.714850131697396</v>
      </c>
      <c r="E30" s="16">
        <f>(E8+E10+E11-E7)/E7</f>
        <v>-0.714589189259206</v>
      </c>
      <c r="F30" s="16"/>
      <c r="G30" s="19"/>
      <c r="H30" s="19"/>
      <c r="I30" s="19"/>
    </row>
    <row r="31" ht="20.05" customHeight="1">
      <c r="A31" t="s" s="17">
        <v>3</v>
      </c>
      <c r="B31" s="13">
        <f>SUM(B8:B11)/4</f>
        <v>-408.0725</v>
      </c>
      <c r="C31" s="14">
        <f>SUM(C8:C11)/4</f>
        <v>-1365.85</v>
      </c>
      <c r="D31" s="14">
        <f>SUM(D8:D11)/4</f>
        <v>-867.7</v>
      </c>
      <c r="E31" s="14">
        <f>SUM(E8:E11)/4</f>
        <v>-2598.4</v>
      </c>
      <c r="F31" s="14"/>
      <c r="G31" s="14"/>
      <c r="H31" s="14"/>
      <c r="I31" s="14"/>
    </row>
    <row r="32" ht="20.05" customHeight="1">
      <c r="A32" t="s" s="17">
        <v>31</v>
      </c>
      <c r="B32" s="13"/>
      <c r="C32" s="14"/>
      <c r="D32" s="14"/>
      <c r="E32" s="14">
        <f>E31</f>
        <v>-2598.4</v>
      </c>
      <c r="F32" s="14">
        <f>SUM('Model'!E10:E11)</f>
        <v>-1092.46988016</v>
      </c>
      <c r="G32" s="14"/>
      <c r="H32" s="14"/>
      <c r="I32" s="14"/>
    </row>
    <row r="33" ht="20.05" customHeight="1">
      <c r="A33" t="s" s="17">
        <v>26</v>
      </c>
      <c r="B33" s="13">
        <f>-(B12+B13)</f>
        <v>-759.689</v>
      </c>
      <c r="C33" s="14">
        <f>-(C12+C13)+B33</f>
        <v>-6230.389</v>
      </c>
      <c r="D33" s="14">
        <f>-(D12+D13)+C33</f>
        <v>-9869.753000000001</v>
      </c>
      <c r="E33" s="14">
        <f>-(E12+E13)+D33</f>
        <v>-38880.653</v>
      </c>
      <c r="F33" s="14"/>
      <c r="G33" s="14"/>
      <c r="H33" s="14"/>
      <c r="I33" s="14"/>
    </row>
    <row r="34" ht="20.05" customHeight="1">
      <c r="A34" t="s" s="17">
        <v>31</v>
      </c>
      <c r="B34" s="13"/>
      <c r="C34" s="14"/>
      <c r="D34" s="19"/>
      <c r="E34" s="14">
        <f>E33</f>
        <v>-38880.653</v>
      </c>
      <c r="F34" s="14">
        <f>'Model'!E29</f>
        <v>-41102.89957936</v>
      </c>
      <c r="G34" s="14"/>
      <c r="H34" s="14"/>
      <c r="I34" s="14"/>
    </row>
    <row r="35" ht="20.05" customHeight="1">
      <c r="A35" t="s" s="17">
        <v>44</v>
      </c>
      <c r="B35" s="13"/>
      <c r="C35" s="14"/>
      <c r="D35" s="19"/>
      <c r="E35" s="14">
        <v>830</v>
      </c>
      <c r="F35" s="14">
        <v>785</v>
      </c>
      <c r="G35" s="14"/>
      <c r="H35" s="14"/>
      <c r="I35" s="14"/>
    </row>
    <row r="36" ht="20.05" customHeight="1">
      <c r="A36" t="s" s="17">
        <v>34</v>
      </c>
      <c r="B36" s="13"/>
      <c r="C36" s="14"/>
      <c r="D36" s="14"/>
      <c r="E36" s="14"/>
      <c r="F36" s="14">
        <f>F35</f>
        <v>785</v>
      </c>
      <c r="G36" s="14">
        <f>'Model'!E40</f>
        <v>608.554193967072</v>
      </c>
      <c r="H36" s="14"/>
      <c r="I36" s="14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