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ales - Profit quarterly" sheetId="2" r:id="rId5"/>
    <sheet name="Cash Flow - Cash Flow quarterly" sheetId="3" r:id="rId6"/>
    <sheet name="Balance sheet - Assets" sheetId="4" r:id="rId7"/>
    <sheet name="Share price - MSFT" sheetId="5" r:id="rId8"/>
    <sheet name="Model - Financial model" sheetId="6" r:id="rId9"/>
    <sheet name="Valuation - Valuation" sheetId="7" r:id="rId10"/>
  </sheets>
</workbook>
</file>

<file path=xl/sharedStrings.xml><?xml version="1.0" encoding="utf-8"?>
<sst xmlns="http://schemas.openxmlformats.org/spreadsheetml/2006/main" uniqueCount="83">
  <si>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</si>
  <si>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</si>
  <si>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</si>
  <si>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</si>
  <si>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Sales</t>
  </si>
  <si>
    <t>Profit quarterly</t>
  </si>
  <si>
    <t>Sales - Profit quarterly</t>
  </si>
  <si>
    <t>$m</t>
  </si>
  <si>
    <t xml:space="preserve">Products </t>
  </si>
  <si>
    <t xml:space="preserve">Services </t>
  </si>
  <si>
    <t xml:space="preserve">Forecast </t>
  </si>
  <si>
    <t xml:space="preserve">Sales growth </t>
  </si>
  <si>
    <t xml:space="preserve">Cost ratio </t>
  </si>
  <si>
    <t>Cash Flow</t>
  </si>
  <si>
    <t>Cash Flow quarterly</t>
  </si>
  <si>
    <t>Cash Flow - Cash Flow quarterly</t>
  </si>
  <si>
    <t>Net income</t>
  </si>
  <si>
    <t>Depreciation</t>
  </si>
  <si>
    <t>Others</t>
  </si>
  <si>
    <t>PPE</t>
  </si>
  <si>
    <t xml:space="preserve">Operating </t>
  </si>
  <si>
    <t xml:space="preserve">Investment </t>
  </si>
  <si>
    <t>Finance</t>
  </si>
  <si>
    <t>Free cash flow $m</t>
  </si>
  <si>
    <t>Capital paid (raised)</t>
  </si>
  <si>
    <t>Balance sheet</t>
  </si>
  <si>
    <t>Assets</t>
  </si>
  <si>
    <t>Balance sheet - Assets</t>
  </si>
  <si>
    <t>Cash</t>
  </si>
  <si>
    <t>Total assets</t>
  </si>
  <si>
    <t>Other Assets</t>
  </si>
  <si>
    <t xml:space="preserve">Depreciation </t>
  </si>
  <si>
    <t xml:space="preserve">Liabilities </t>
  </si>
  <si>
    <t xml:space="preserve">Equity </t>
  </si>
  <si>
    <t xml:space="preserve">Check </t>
  </si>
  <si>
    <t xml:space="preserve">Net cash </t>
  </si>
  <si>
    <t>Share price</t>
  </si>
  <si>
    <t>MSFT</t>
  </si>
  <si>
    <t>Share price - MSFT</t>
  </si>
  <si>
    <t>Volume (mn)</t>
  </si>
  <si>
    <t>Target</t>
  </si>
  <si>
    <t>Model</t>
  </si>
  <si>
    <t>Financial model</t>
  </si>
  <si>
    <t>Model - Financial model</t>
  </si>
  <si>
    <t>1Q 2021</t>
  </si>
  <si>
    <t>2Q 2021</t>
  </si>
  <si>
    <t>3Q 2021</t>
  </si>
  <si>
    <t>4Q 2021</t>
  </si>
  <si>
    <t>Cash flow</t>
  </si>
  <si>
    <t>Growth</t>
  </si>
  <si>
    <t>Cash cost ratio</t>
  </si>
  <si>
    <t xml:space="preserve">Cash cost </t>
  </si>
  <si>
    <t>Operating cash flow</t>
  </si>
  <si>
    <t>Investment cash flow</t>
  </si>
  <si>
    <t>Finance cash flow</t>
  </si>
  <si>
    <t>Equity</t>
  </si>
  <si>
    <t xml:space="preserve">Cash flow before revolver </t>
  </si>
  <si>
    <t xml:space="preserve">Revolver </t>
  </si>
  <si>
    <t>Beginning cash</t>
  </si>
  <si>
    <t>Change</t>
  </si>
  <si>
    <t>Ending cash</t>
  </si>
  <si>
    <t>Profit</t>
  </si>
  <si>
    <t>Cash costs</t>
  </si>
  <si>
    <t xml:space="preserve">Net profit </t>
  </si>
  <si>
    <t>Other assets</t>
  </si>
  <si>
    <t>Net LT assets</t>
  </si>
  <si>
    <t>Valuation</t>
  </si>
  <si>
    <t>Valuation - Valuation</t>
  </si>
  <si>
    <t xml:space="preserve">Free cashflow </t>
  </si>
  <si>
    <t xml:space="preserve">Valuation </t>
  </si>
  <si>
    <t xml:space="preserve">Target value </t>
  </si>
  <si>
    <t xml:space="preserve">Discount </t>
  </si>
  <si>
    <t xml:space="preserve">Adjusted value </t>
  </si>
  <si>
    <t>Shares</t>
  </si>
  <si>
    <t xml:space="preserve">Target price </t>
  </si>
  <si>
    <t xml:space="preserve">Current value </t>
  </si>
  <si>
    <t>P/capital paid</t>
  </si>
  <si>
    <t>P/sales</t>
  </si>
  <si>
    <t>P/assets</t>
  </si>
  <si>
    <t xml:space="preserve">P/equity </t>
  </si>
  <si>
    <t xml:space="preserve">Profitability </t>
  </si>
  <si>
    <t xml:space="preserve">Profit growth </t>
  </si>
  <si>
    <t xml:space="preserve">Yield </t>
  </si>
</sst>
</file>

<file path=xl/styles.xml><?xml version="1.0" encoding="utf-8"?>
<styleSheet xmlns="http://schemas.openxmlformats.org/spreadsheetml/2006/main">
  <numFmts count="7">
    <numFmt numFmtId="0" formatCode="General"/>
    <numFmt numFmtId="59" formatCode="#,##0%_);[Red]\(#,##0%\)"/>
    <numFmt numFmtId="60" formatCode="0%_);[Red]\(0%\)"/>
    <numFmt numFmtId="61" formatCode="mmmm"/>
    <numFmt numFmtId="62" formatCode="0.0%"/>
    <numFmt numFmtId="63" formatCode="#,##0.0"/>
    <numFmt numFmtId="64" formatCode="#,##0.0%_);[Red]\(#,##0.0%\)"/>
  </numFmts>
  <fonts count="11">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0"/>
      <color indexed="17"/>
      <name val="Arial"/>
    </font>
    <font>
      <sz val="10"/>
      <color indexed="8"/>
      <name val="Arial"/>
    </font>
    <font>
      <sz val="16"/>
      <color indexed="17"/>
      <name val="Arial"/>
    </font>
    <font>
      <sz val="12"/>
      <color indexed="17"/>
      <name val="Arial"/>
    </font>
    <font>
      <sz val="12"/>
      <color indexed="8"/>
      <name val="Helvetica"/>
    </font>
    <font>
      <sz val="12"/>
      <color indexed="19"/>
      <name val="Helvetica Neue"/>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15">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6"/>
      </bottom>
      <diagonal/>
    </border>
    <border>
      <left style="thin">
        <color indexed="14"/>
      </left>
      <right style="thin">
        <color indexed="13"/>
      </right>
      <top style="thin">
        <color indexed="16"/>
      </top>
      <bottom style="thin">
        <color indexed="18"/>
      </bottom>
      <diagonal/>
    </border>
    <border>
      <left style="thin">
        <color indexed="13"/>
      </left>
      <right style="thin">
        <color indexed="13"/>
      </right>
      <top style="thin">
        <color indexed="16"/>
      </top>
      <bottom style="thin">
        <color indexed="18"/>
      </bottom>
      <diagonal/>
    </border>
    <border>
      <left style="thin">
        <color indexed="14"/>
      </left>
      <right style="thin">
        <color indexed="13"/>
      </right>
      <top style="thin">
        <color indexed="18"/>
      </top>
      <bottom style="thin">
        <color indexed="18"/>
      </bottom>
      <diagonal/>
    </border>
    <border>
      <left style="thin">
        <color indexed="13"/>
      </left>
      <right style="thin">
        <color indexed="13"/>
      </right>
      <top style="thin">
        <color indexed="18"/>
      </top>
      <bottom style="thin">
        <color indexed="18"/>
      </bottom>
      <diagonal/>
    </border>
    <border>
      <left style="thin">
        <color indexed="13"/>
      </left>
      <right style="thin">
        <color indexed="13"/>
      </right>
      <top style="thin">
        <color indexed="18"/>
      </top>
      <bottom style="thin">
        <color indexed="13"/>
      </bottom>
      <diagonal/>
    </border>
    <border>
      <left style="thin">
        <color indexed="14"/>
      </left>
      <right style="thin">
        <color indexed="13"/>
      </right>
      <top style="thin">
        <color indexed="18"/>
      </top>
      <bottom style="thin">
        <color indexed="13"/>
      </bottom>
      <diagonal/>
    </border>
  </borders>
  <cellStyleXfs count="1">
    <xf numFmtId="0" fontId="0" applyNumberFormat="0" applyFont="1" applyFill="0" applyBorder="0" applyAlignment="1" applyProtection="0">
      <alignment vertical="top" wrapText="1"/>
    </xf>
  </cellStyleXfs>
  <cellXfs count="6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horizontal="right" vertical="top" wrapText="1"/>
    </xf>
    <xf numFmtId="0" fontId="4" fillId="5" borderId="2" applyNumberFormat="1" applyFont="1" applyFill="1" applyBorder="1" applyAlignment="1" applyProtection="0">
      <alignment vertical="top" wrapText="1"/>
    </xf>
    <xf numFmtId="38" fontId="0" borderId="3" applyNumberFormat="1" applyFont="1" applyFill="0" applyBorder="1" applyAlignment="1" applyProtection="0">
      <alignment vertical="top" wrapText="1"/>
    </xf>
    <xf numFmtId="38" fontId="0" borderId="4" applyNumberFormat="1" applyFont="1" applyFill="0" applyBorder="1" applyAlignment="1" applyProtection="0">
      <alignment vertical="top" wrapText="1"/>
    </xf>
    <xf numFmtId="0" fontId="0" borderId="4" applyNumberFormat="0" applyFont="1" applyFill="0" applyBorder="1" applyAlignment="1" applyProtection="0">
      <alignment vertical="top" wrapText="1"/>
    </xf>
    <xf numFmtId="59" fontId="0" borderId="4" applyNumberFormat="1" applyFont="1" applyFill="0" applyBorder="1" applyAlignment="1" applyProtection="0">
      <alignment vertical="top" wrapText="1"/>
    </xf>
    <xf numFmtId="0" fontId="4" fillId="5" borderId="5" applyNumberFormat="0" applyFont="1" applyFill="1" applyBorder="1" applyAlignment="1" applyProtection="0">
      <alignment vertical="top" wrapText="1"/>
    </xf>
    <xf numFmtId="38" fontId="0" borderId="6" applyNumberFormat="1" applyFont="1" applyFill="0" applyBorder="1" applyAlignment="1" applyProtection="0">
      <alignment vertical="top" wrapText="1"/>
    </xf>
    <xf numFmtId="38" fontId="0" borderId="7"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0" fontId="4" fillId="5" borderId="5" applyNumberFormat="1" applyFont="1" applyFill="1" applyBorder="1" applyAlignment="1" applyProtection="0">
      <alignment vertical="top" wrapText="1"/>
    </xf>
    <xf numFmtId="0" fontId="0" borderId="7" applyNumberFormat="0" applyFont="1" applyFill="0" applyBorder="1" applyAlignment="1" applyProtection="0">
      <alignment vertical="top" wrapText="1"/>
    </xf>
    <xf numFmtId="3" fontId="0" borderId="6" applyNumberFormat="1" applyFont="1" applyFill="0" applyBorder="1" applyAlignment="1" applyProtection="0">
      <alignment vertical="top" wrapText="1"/>
    </xf>
    <xf numFmtId="3" fontId="0" borderId="7" applyNumberFormat="1" applyFont="1" applyFill="0" applyBorder="1" applyAlignment="1" applyProtection="0">
      <alignment vertical="top" wrapText="1"/>
    </xf>
    <xf numFmtId="59" fontId="0" borderId="6"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38" fontId="4" fillId="5"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49" fontId="4" fillId="4" borderId="8" applyNumberFormat="1" applyFont="1" applyFill="1" applyBorder="1" applyAlignment="1" applyProtection="0">
      <alignment vertical="top" wrapText="1"/>
    </xf>
    <xf numFmtId="49" fontId="4" fillId="4" borderId="8" applyNumberFormat="1" applyFont="1" applyFill="1" applyBorder="1" applyAlignment="1" applyProtection="0">
      <alignment horizontal="right" vertical="center" wrapText="1"/>
    </xf>
    <xf numFmtId="3" fontId="5" borderId="9" applyNumberFormat="1" applyFont="1" applyFill="0" applyBorder="1" applyAlignment="1" applyProtection="0">
      <alignment horizontal="right" vertical="center" wrapText="1" readingOrder="1"/>
    </xf>
    <xf numFmtId="3" fontId="6" borderId="10" applyNumberFormat="1" applyFont="1" applyFill="0" applyBorder="1" applyAlignment="1" applyProtection="0">
      <alignment horizontal="right" vertical="center" wrapText="1" readingOrder="1"/>
    </xf>
    <xf numFmtId="0" fontId="7" borderId="10" applyNumberFormat="0" applyFont="1" applyFill="0" applyBorder="1" applyAlignment="1" applyProtection="0">
      <alignment vertical="center" wrapText="1" readingOrder="1"/>
    </xf>
    <xf numFmtId="3" fontId="5" borderId="11" applyNumberFormat="1" applyFont="1" applyFill="0" applyBorder="1" applyAlignment="1" applyProtection="0">
      <alignment horizontal="right" vertical="center" wrapText="1" readingOrder="1"/>
    </xf>
    <xf numFmtId="3" fontId="6" borderId="12" applyNumberFormat="1" applyFont="1" applyFill="0" applyBorder="1" applyAlignment="1" applyProtection="0">
      <alignment horizontal="right" vertical="center" wrapText="1" readingOrder="1"/>
    </xf>
    <xf numFmtId="0" fontId="8" borderId="12" applyNumberFormat="0" applyFont="1" applyFill="0" applyBorder="1" applyAlignment="1" applyProtection="0">
      <alignment vertical="center" wrapText="1" readingOrder="1"/>
    </xf>
    <xf numFmtId="3" fontId="6" fillId="6" borderId="12" applyNumberFormat="1" applyFont="1" applyFill="1" applyBorder="1" applyAlignment="1" applyProtection="0">
      <alignment horizontal="right" vertical="center" wrapText="1" readingOrder="1"/>
    </xf>
    <xf numFmtId="0" fontId="7" fillId="6" borderId="12" applyNumberFormat="0" applyFont="1" applyFill="1" applyBorder="1" applyAlignment="1" applyProtection="0">
      <alignment vertical="center" wrapText="1" readingOrder="1"/>
    </xf>
    <xf numFmtId="0" fontId="8" borderId="13" applyNumberFormat="0" applyFont="1" applyFill="0" applyBorder="1" applyAlignment="1" applyProtection="0">
      <alignment vertical="center" wrapText="1" readingOrder="1"/>
    </xf>
    <xf numFmtId="3" fontId="6" borderId="11" applyNumberFormat="1" applyFont="1" applyFill="0" applyBorder="1" applyAlignment="1" applyProtection="0">
      <alignment horizontal="right" vertical="center" wrapText="1" readingOrder="1"/>
    </xf>
    <xf numFmtId="3" fontId="6" borderId="14" applyNumberFormat="1" applyFont="1" applyFill="0" applyBorder="1" applyAlignment="1" applyProtection="0">
      <alignment horizontal="right" vertical="center" wrapText="1" readingOrder="1"/>
    </xf>
    <xf numFmtId="3" fontId="6" fillId="6" borderId="13" applyNumberFormat="1" applyFont="1" applyFill="1" applyBorder="1" applyAlignment="1" applyProtection="0">
      <alignment horizontal="right" vertical="center" wrapText="1" readingOrder="1"/>
    </xf>
    <xf numFmtId="1" fontId="0" borderId="6" applyNumberFormat="1" applyFont="1" applyFill="0" applyBorder="1" applyAlignment="1" applyProtection="0">
      <alignment vertical="top" wrapText="1"/>
    </xf>
    <xf numFmtId="1" fontId="0" borderId="7"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vertical="top" wrapText="1"/>
    </xf>
    <xf numFmtId="49" fontId="4" fillId="7" borderId="2" applyNumberFormat="1" applyFont="1" applyFill="1" applyBorder="1" applyAlignment="1" applyProtection="0">
      <alignment vertical="top" wrapText="1"/>
    </xf>
    <xf numFmtId="59" fontId="0" borderId="3" applyNumberFormat="1" applyFont="1" applyFill="0" applyBorder="1" applyAlignment="1" applyProtection="0">
      <alignment vertical="top" wrapText="1"/>
    </xf>
    <xf numFmtId="49" fontId="4" fillId="5" borderId="5" applyNumberFormat="1" applyFont="1" applyFill="1" applyBorder="1" applyAlignment="1" applyProtection="0">
      <alignment vertical="top" wrapText="1"/>
    </xf>
    <xf numFmtId="60" fontId="0" borderId="6" applyNumberFormat="1" applyFont="1" applyFill="0" applyBorder="1" applyAlignment="1" applyProtection="0">
      <alignment vertical="top" wrapText="1"/>
    </xf>
    <xf numFmtId="49" fontId="4" fillId="8" borderId="5" applyNumberFormat="1" applyFont="1" applyFill="1" applyBorder="1" applyAlignment="1" applyProtection="0">
      <alignment vertical="top" wrapText="1"/>
    </xf>
    <xf numFmtId="0" fontId="0" borderId="6" applyNumberFormat="0" applyFont="1" applyFill="0" applyBorder="1" applyAlignment="1" applyProtection="0">
      <alignment vertical="top" wrapText="1"/>
    </xf>
    <xf numFmtId="49" fontId="4" fillId="9"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61"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3" fontId="0" borderId="3" applyNumberFormat="1" applyFont="1" applyFill="0" applyBorder="1" applyAlignment="1" applyProtection="0">
      <alignment vertical="top" wrapText="1"/>
    </xf>
    <xf numFmtId="0" fontId="0" borderId="4" applyNumberFormat="1" applyFont="1" applyFill="0" applyBorder="1" applyAlignment="1" applyProtection="0">
      <alignment vertical="top" wrapText="1"/>
    </xf>
    <xf numFmtId="62" fontId="0" borderId="6" applyNumberFormat="1" applyFont="1" applyFill="0" applyBorder="1" applyAlignment="1" applyProtection="0">
      <alignment vertical="top" wrapText="1"/>
    </xf>
    <xf numFmtId="62" fontId="0" borderId="7" applyNumberFormat="1" applyFont="1" applyFill="0" applyBorder="1" applyAlignment="1" applyProtection="0">
      <alignment vertical="top" wrapText="1"/>
    </xf>
    <xf numFmtId="63" fontId="0" borderId="6" applyNumberFormat="1" applyFont="1" applyFill="0" applyBorder="1" applyAlignment="1" applyProtection="0">
      <alignment vertical="top" wrapText="1"/>
    </xf>
    <xf numFmtId="63" fontId="0" borderId="7" applyNumberFormat="1" applyFont="1" applyFill="0" applyBorder="1" applyAlignment="1" applyProtection="0">
      <alignment vertical="top" wrapText="1"/>
    </xf>
    <xf numFmtId="4" fontId="0" borderId="7" applyNumberFormat="1" applyFont="1" applyFill="0" applyBorder="1" applyAlignment="1" applyProtection="0">
      <alignment vertical="top" wrapText="1"/>
    </xf>
    <xf numFmtId="64" fontId="0"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5c5c5c"/>
      <rgbColor rgb="ff323232"/>
      <rgbColor rgb="ffd9d9d9"/>
      <rgbColor rgb="ffffffff"/>
      <rgbColor rgb="ff96d35f"/>
      <rgbColor rgb="fffff76b"/>
      <rgbColor rgb="ff52d6fc"/>
      <rgbColor rgb="ffb8b8b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9165"/>
          <c:y val="0.0426778"/>
          <c:w val="0.852959"/>
          <c:h val="0.886395"/>
        </c:manualLayout>
      </c:layout>
      <c:lineChart>
        <c:grouping val="standard"/>
        <c:varyColors val="0"/>
        <c:ser>
          <c:idx val="0"/>
          <c:order val="0"/>
          <c:tx>
            <c:strRef>
              <c:f>'Sales - Profit quarterly'!$E$3</c:f>
              <c:strCache>
                <c:ptCount val="1"/>
                <c:pt idx="0">
                  <c:v>Sales</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trendline>
            <c:spPr>
              <a:noFill/>
              <a:ln w="25400" cap="flat">
                <a:solidFill>
                  <a:schemeClr val="accent1"/>
                </a:solidFill>
                <a:prstDash val="solid"/>
                <a:miter lim="400000"/>
              </a:ln>
              <a:effectLst>
                <a:outerShdw sx="100000" sy="100000" kx="0" ky="0" algn="tl" rotWithShape="1" blurRad="12700" dist="25400" dir="7320000">
                  <a:srgbClr val="000000">
                    <a:alpha val="25000"/>
                  </a:srgbClr>
                </a:outerShdw>
              </a:effectLst>
            </c:spPr>
            <c:trendlineType val="poly"/>
            <c:order val="2"/>
            <c:forward val="0"/>
            <c:backward val="0"/>
            <c:dispRSqr val="0"/>
            <c:dispEq val="0"/>
          </c:trendline>
          <c:cat>
            <c:strRef>
              <c:f>'Sales - Profit quarterly'!$B$8:$B$31</c:f>
              <c:strCache>
                <c:ptCount val="24"/>
                <c:pt idx="0">
                  <c:v>2016</c:v>
                </c:pt>
                <c:pt idx="1">
                  <c:v/>
                </c:pt>
                <c:pt idx="2">
                  <c:v/>
                </c:pt>
                <c:pt idx="3">
                  <c:v/>
                </c:pt>
                <c:pt idx="4">
                  <c:v>2017</c:v>
                </c:pt>
                <c:pt idx="5">
                  <c:v/>
                </c:pt>
                <c:pt idx="6">
                  <c:v/>
                </c:pt>
                <c:pt idx="7">
                  <c:v/>
                </c:pt>
                <c:pt idx="8">
                  <c:v>2018</c:v>
                </c:pt>
                <c:pt idx="9">
                  <c:v/>
                </c:pt>
                <c:pt idx="10">
                  <c:v/>
                </c:pt>
                <c:pt idx="11">
                  <c:v/>
                </c:pt>
                <c:pt idx="12">
                  <c:v>2019</c:v>
                </c:pt>
                <c:pt idx="13">
                  <c:v/>
                </c:pt>
                <c:pt idx="14">
                  <c:v/>
                </c:pt>
                <c:pt idx="15">
                  <c:v/>
                </c:pt>
                <c:pt idx="16">
                  <c:v>2020</c:v>
                </c:pt>
                <c:pt idx="17">
                  <c:v/>
                </c:pt>
                <c:pt idx="18">
                  <c:v/>
                </c:pt>
                <c:pt idx="19">
                  <c:v/>
                </c:pt>
                <c:pt idx="20">
                  <c:v>2021</c:v>
                </c:pt>
                <c:pt idx="21">
                  <c:v/>
                </c:pt>
                <c:pt idx="22">
                  <c:v/>
                </c:pt>
                <c:pt idx="23">
                  <c:v/>
                </c:pt>
              </c:strCache>
            </c:strRef>
          </c:cat>
          <c:val>
            <c:numRef>
              <c:f>'Sales - Profit quarterly'!$E$8:$E$31</c:f>
              <c:numCache>
                <c:ptCount val="20"/>
                <c:pt idx="0">
                  <c:v>20531.000000</c:v>
                </c:pt>
                <c:pt idx="1">
                  <c:v>20614.000000</c:v>
                </c:pt>
                <c:pt idx="2">
                  <c:v>21928.000000</c:v>
                </c:pt>
                <c:pt idx="3">
                  <c:v>25826.000000</c:v>
                </c:pt>
                <c:pt idx="4">
                  <c:v>23212.000000</c:v>
                </c:pt>
                <c:pt idx="5">
                  <c:v>25605.000000</c:v>
                </c:pt>
                <c:pt idx="6">
                  <c:v>24538.000000</c:v>
                </c:pt>
                <c:pt idx="7">
                  <c:v>28918.000000</c:v>
                </c:pt>
                <c:pt idx="8">
                  <c:v>26819.000000</c:v>
                </c:pt>
                <c:pt idx="9">
                  <c:v>30085.000000</c:v>
                </c:pt>
                <c:pt idx="10">
                  <c:v>29084.000000</c:v>
                </c:pt>
                <c:pt idx="11">
                  <c:v>32471.000000</c:v>
                </c:pt>
                <c:pt idx="12">
                  <c:v>30571.000000</c:v>
                </c:pt>
                <c:pt idx="13">
                  <c:v>33717.000000</c:v>
                </c:pt>
                <c:pt idx="14">
                  <c:v>33055.000000</c:v>
                </c:pt>
                <c:pt idx="15">
                  <c:v>36906.000000</c:v>
                </c:pt>
                <c:pt idx="16">
                  <c:v>35021.000000</c:v>
                </c:pt>
                <c:pt idx="17">
                  <c:v>38033.000000</c:v>
                </c:pt>
                <c:pt idx="18">
                  <c:v>37154.000000</c:v>
                </c:pt>
                <c:pt idx="19">
                  <c:v>43076.000000</c:v>
                </c:pt>
              </c:numCache>
            </c:numRef>
          </c:val>
          <c:smooth val="0"/>
        </c:ser>
        <c:ser>
          <c:idx val="1"/>
          <c:order val="1"/>
          <c:tx>
            <c:strRef>
              <c:f>'Sales - Profit quarterly'!$F$3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quarterly'!$B$8:$B$31</c:f>
              <c:strCache>
                <c:ptCount val="24"/>
                <c:pt idx="0">
                  <c:v>2016</c:v>
                </c:pt>
                <c:pt idx="1">
                  <c:v/>
                </c:pt>
                <c:pt idx="2">
                  <c:v/>
                </c:pt>
                <c:pt idx="3">
                  <c:v/>
                </c:pt>
                <c:pt idx="4">
                  <c:v>2017</c:v>
                </c:pt>
                <c:pt idx="5">
                  <c:v/>
                </c:pt>
                <c:pt idx="6">
                  <c:v/>
                </c:pt>
                <c:pt idx="7">
                  <c:v/>
                </c:pt>
                <c:pt idx="8">
                  <c:v>2018</c:v>
                </c:pt>
                <c:pt idx="9">
                  <c:v/>
                </c:pt>
                <c:pt idx="10">
                  <c:v/>
                </c:pt>
                <c:pt idx="11">
                  <c:v/>
                </c:pt>
                <c:pt idx="12">
                  <c:v>2019</c:v>
                </c:pt>
                <c:pt idx="13">
                  <c:v/>
                </c:pt>
                <c:pt idx="14">
                  <c:v/>
                </c:pt>
                <c:pt idx="15">
                  <c:v/>
                </c:pt>
                <c:pt idx="16">
                  <c:v>2020</c:v>
                </c:pt>
                <c:pt idx="17">
                  <c:v/>
                </c:pt>
                <c:pt idx="18">
                  <c:v/>
                </c:pt>
                <c:pt idx="19">
                  <c:v/>
                </c:pt>
                <c:pt idx="20">
                  <c:v>2021</c:v>
                </c:pt>
                <c:pt idx="21">
                  <c:v/>
                </c:pt>
                <c:pt idx="22">
                  <c:v/>
                </c:pt>
                <c:pt idx="23">
                  <c:v/>
                </c:pt>
              </c:strCache>
            </c:strRef>
          </c:cat>
          <c:val>
            <c:numRef>
              <c:f>'Sales - Profit quarterly'!$F$8:$F$31</c:f>
              <c:numCache>
                <c:ptCount val="7"/>
                <c:pt idx="17">
                  <c:v>38774.550000</c:v>
                </c:pt>
                <c:pt idx="18">
                  <c:v>38013.250000</c:v>
                </c:pt>
                <c:pt idx="19">
                  <c:v>41612.480000</c:v>
                </c:pt>
                <c:pt idx="20">
                  <c:v>40491.440000</c:v>
                </c:pt>
                <c:pt idx="21">
                  <c:v>44540.584000</c:v>
                </c:pt>
                <c:pt idx="22">
                  <c:v>43649.772320</c:v>
                </c:pt>
                <c:pt idx="23">
                  <c:v>47578.251829</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in val="15000"/>
        </c:scaling>
        <c:delete val="0"/>
        <c:axPos val="l"/>
        <c:majorGridlines>
          <c:spPr>
            <a:ln w="1270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8750"/>
        <c:minorUnit val="4375"/>
      </c:valAx>
      <c:spPr>
        <a:noFill/>
        <a:ln w="12700" cap="flat">
          <a:noFill/>
          <a:miter lim="400000"/>
        </a:ln>
        <a:effectLst/>
      </c:spPr>
    </c:plotArea>
    <c:legend>
      <c:legendPos val="r"/>
      <c:layout>
        <c:manualLayout>
          <c:xMode val="edge"/>
          <c:yMode val="edge"/>
          <c:x val="0.36159"/>
          <c:y val="0.0943122"/>
          <c:w val="0.27682"/>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3276"/>
          <c:y val="0.0426778"/>
          <c:w val="0.818613"/>
          <c:h val="0.886395"/>
        </c:manualLayout>
      </c:layout>
      <c:lineChart>
        <c:grouping val="standard"/>
        <c:varyColors val="0"/>
        <c:ser>
          <c:idx val="0"/>
          <c:order val="0"/>
          <c:tx>
            <c:strRef>
              <c:f>'Sales - Profit quarterly'!$H$3</c:f>
              <c:strCache>
                <c:ptCount val="1"/>
                <c:pt idx="0">
                  <c:v>Cost ratio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quarterly'!$B$8:$B$28</c:f>
              <c:strCache>
                <c:ptCount val="21"/>
                <c:pt idx="0">
                  <c:v>2016</c:v>
                </c:pt>
                <c:pt idx="1">
                  <c:v/>
                </c:pt>
                <c:pt idx="2">
                  <c:v/>
                </c:pt>
                <c:pt idx="3">
                  <c:v/>
                </c:pt>
                <c:pt idx="4">
                  <c:v>2017</c:v>
                </c:pt>
                <c:pt idx="5">
                  <c:v/>
                </c:pt>
                <c:pt idx="6">
                  <c:v/>
                </c:pt>
                <c:pt idx="7">
                  <c:v/>
                </c:pt>
                <c:pt idx="8">
                  <c:v>2018</c:v>
                </c:pt>
                <c:pt idx="9">
                  <c:v/>
                </c:pt>
                <c:pt idx="10">
                  <c:v/>
                </c:pt>
                <c:pt idx="11">
                  <c:v/>
                </c:pt>
                <c:pt idx="12">
                  <c:v>2019</c:v>
                </c:pt>
                <c:pt idx="13">
                  <c:v/>
                </c:pt>
                <c:pt idx="14">
                  <c:v/>
                </c:pt>
                <c:pt idx="15">
                  <c:v/>
                </c:pt>
                <c:pt idx="16">
                  <c:v>2020</c:v>
                </c:pt>
                <c:pt idx="17">
                  <c:v/>
                </c:pt>
                <c:pt idx="18">
                  <c:v/>
                </c:pt>
                <c:pt idx="19">
                  <c:v/>
                </c:pt>
                <c:pt idx="20">
                  <c:v>2021</c:v>
                </c:pt>
              </c:strCache>
            </c:strRef>
          </c:cat>
          <c:val>
            <c:numRef>
              <c:f>'Sales - Profit quarterly'!$H$8:$H$28</c:f>
              <c:numCache>
                <c:ptCount val="20"/>
                <c:pt idx="0">
                  <c:v>-0.733915</c:v>
                </c:pt>
                <c:pt idx="1">
                  <c:v>-0.574415</c:v>
                </c:pt>
                <c:pt idx="2">
                  <c:v>-0.616244</c:v>
                </c:pt>
                <c:pt idx="3">
                  <c:v>-0.668822</c:v>
                </c:pt>
                <c:pt idx="4">
                  <c:v>-0.657591</c:v>
                </c:pt>
                <c:pt idx="5">
                  <c:v>-0.620582</c:v>
                </c:pt>
                <c:pt idx="6">
                  <c:v>-0.613986</c:v>
                </c:pt>
                <c:pt idx="7">
                  <c:v>-1.202262</c:v>
                </c:pt>
                <c:pt idx="8">
                  <c:v>-0.617100</c:v>
                </c:pt>
                <c:pt idx="9">
                  <c:v>-0.686056</c:v>
                </c:pt>
                <c:pt idx="10">
                  <c:v>-0.580835</c:v>
                </c:pt>
                <c:pt idx="11">
                  <c:v>-0.621508</c:v>
                </c:pt>
                <c:pt idx="12">
                  <c:v>-0.577802</c:v>
                </c:pt>
                <c:pt idx="13">
                  <c:v>-0.486876</c:v>
                </c:pt>
                <c:pt idx="14">
                  <c:v>-0.548903</c:v>
                </c:pt>
                <c:pt idx="15">
                  <c:v>-0.561264</c:v>
                </c:pt>
                <c:pt idx="16">
                  <c:v>-0.565746</c:v>
                </c:pt>
                <c:pt idx="17">
                  <c:v>-0.577867</c:v>
                </c:pt>
                <c:pt idx="18">
                  <c:v>-0.519433</c:v>
                </c:pt>
                <c:pt idx="19">
                  <c:v>-0.549192</c:v>
                </c:pt>
              </c:numCache>
            </c:numRef>
          </c:val>
          <c:smooth val="0"/>
        </c:ser>
        <c:ser>
          <c:idx val="1"/>
          <c:order val="1"/>
          <c:tx>
            <c:strRef>
              <c:f>'Sales - Profit quarterly'!$I$3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quarterly'!$B$8:$B$28</c:f>
              <c:strCache>
                <c:ptCount val="21"/>
                <c:pt idx="0">
                  <c:v>2016</c:v>
                </c:pt>
                <c:pt idx="1">
                  <c:v/>
                </c:pt>
                <c:pt idx="2">
                  <c:v/>
                </c:pt>
                <c:pt idx="3">
                  <c:v/>
                </c:pt>
                <c:pt idx="4">
                  <c:v>2017</c:v>
                </c:pt>
                <c:pt idx="5">
                  <c:v/>
                </c:pt>
                <c:pt idx="6">
                  <c:v/>
                </c:pt>
                <c:pt idx="7">
                  <c:v/>
                </c:pt>
                <c:pt idx="8">
                  <c:v>2018</c:v>
                </c:pt>
                <c:pt idx="9">
                  <c:v/>
                </c:pt>
                <c:pt idx="10">
                  <c:v/>
                </c:pt>
                <c:pt idx="11">
                  <c:v/>
                </c:pt>
                <c:pt idx="12">
                  <c:v>2019</c:v>
                </c:pt>
                <c:pt idx="13">
                  <c:v/>
                </c:pt>
                <c:pt idx="14">
                  <c:v/>
                </c:pt>
                <c:pt idx="15">
                  <c:v/>
                </c:pt>
                <c:pt idx="16">
                  <c:v>2020</c:v>
                </c:pt>
                <c:pt idx="17">
                  <c:v/>
                </c:pt>
                <c:pt idx="18">
                  <c:v/>
                </c:pt>
                <c:pt idx="19">
                  <c:v/>
                </c:pt>
                <c:pt idx="20">
                  <c:v>2021</c:v>
                </c:pt>
              </c:strCache>
            </c:strRef>
          </c:cat>
          <c:val>
            <c:numRef>
              <c:f>'Sales - Profit quarterly'!$I$8:$I$28</c:f>
              <c:numCache>
                <c:ptCount val="2"/>
                <c:pt idx="19">
                  <c:v>-0.549192</c:v>
                </c:pt>
                <c:pt idx="20">
                  <c:v>-0.568292</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325"/>
        <c:minorUnit val="0.1625"/>
      </c:valAx>
      <c:spPr>
        <a:noFill/>
        <a:ln w="12700" cap="flat">
          <a:noFill/>
          <a:miter lim="400000"/>
        </a:ln>
        <a:effectLst/>
      </c:spPr>
    </c:plotArea>
    <c:legend>
      <c:legendPos val="r"/>
      <c:layout>
        <c:manualLayout>
          <c:xMode val="edge"/>
          <c:yMode val="edge"/>
          <c:x val="0.391551"/>
          <c:y val="0.0864376"/>
          <c:w val="0.322063"/>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9"/>
          <c:y val="0.0426778"/>
          <c:w val="0.836"/>
          <c:h val="0.886395"/>
        </c:manualLayout>
      </c:layout>
      <c:barChart>
        <c:barDir val="col"/>
        <c:grouping val="clustered"/>
        <c:varyColors val="0"/>
        <c:ser>
          <c:idx val="0"/>
          <c:order val="0"/>
          <c:tx>
            <c:strRef>
              <c:f>'Cash Flow - Cash Flow quarterly'!$L$3</c:f>
              <c:strCache>
                <c:ptCount val="1"/>
                <c:pt idx="0">
                  <c:v>Capital paid (raised)</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'Cash Flow - Cash Flow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 Flow - Cash Flow quarterly'!$L$4:$L$28</c:f>
              <c:numCache>
                <c:ptCount val="21"/>
                <c:pt idx="4">
                  <c:v>4916.000000</c:v>
                </c:pt>
                <c:pt idx="5">
                  <c:v>3945.000000</c:v>
                </c:pt>
                <c:pt idx="6">
                  <c:v>-10384.000000</c:v>
                </c:pt>
                <c:pt idx="7">
                  <c:v>-13400.000000</c:v>
                </c:pt>
                <c:pt idx="8">
                  <c:v>-7164.000000</c:v>
                </c:pt>
                <c:pt idx="9">
                  <c:v>-4463.000000</c:v>
                </c:pt>
                <c:pt idx="10">
                  <c:v>1878.000000</c:v>
                </c:pt>
                <c:pt idx="11">
                  <c:v>3430.000000</c:v>
                </c:pt>
                <c:pt idx="12">
                  <c:v>23088.000000</c:v>
                </c:pt>
                <c:pt idx="13">
                  <c:v>29127.000000</c:v>
                </c:pt>
                <c:pt idx="14">
                  <c:v>36511.000000</c:v>
                </c:pt>
                <c:pt idx="15">
                  <c:v>49727.000000</c:v>
                </c:pt>
                <c:pt idx="16">
                  <c:v>57328.000000</c:v>
                </c:pt>
                <c:pt idx="17">
                  <c:v>66014.000000</c:v>
                </c:pt>
                <c:pt idx="18">
                  <c:v>76223.000000</c:v>
                </c:pt>
                <c:pt idx="19">
                  <c:v>85138.000000</c:v>
                </c:pt>
                <c:pt idx="20">
                  <c:v>99783.000000</c:v>
                </c:pt>
                <c:pt idx="21">
                  <c:v>104245.000000</c:v>
                </c:pt>
                <c:pt idx="22">
                  <c:v>114534.000000</c:v>
                </c:pt>
                <c:pt idx="23">
                  <c:v>128168.000000</c:v>
                </c:pt>
                <c:pt idx="24">
                  <c:v>185827.503857</c:v>
                </c:pt>
              </c:numCache>
            </c:numRef>
          </c:val>
        </c:ser>
        <c:gapWidth val="40"/>
        <c:overlap val="-10"/>
        <c:axId val="2094734552"/>
        <c:axId val="2094734553"/>
      </c:bar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62500"/>
        <c:minorUnit val="31250"/>
      </c:valAx>
      <c:spPr>
        <a:noFill/>
        <a:ln w="12700" cap="flat">
          <a:noFill/>
          <a:miter lim="400000"/>
        </a:ln>
        <a:effectLst/>
      </c:spPr>
    </c:plotArea>
    <c:legend>
      <c:legendPos val="r"/>
      <c:layout>
        <c:manualLayout>
          <c:xMode val="edge"/>
          <c:yMode val="edge"/>
          <c:x val="0.324049"/>
          <c:y val="0.0991675"/>
          <c:w val="0.393923"/>
          <c:h val="0.0676778"/>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7189"/>
          <c:y val="0.0426778"/>
          <c:w val="0.855047"/>
          <c:h val="0.886395"/>
        </c:manualLayout>
      </c:layout>
      <c:lineChart>
        <c:grouping val="standard"/>
        <c:varyColors val="0"/>
        <c:ser>
          <c:idx val="0"/>
          <c:order val="0"/>
          <c:tx>
            <c:strRef>
              <c:f>'Cash Flow - Cash Flow quarterly'!$J$3</c:f>
              <c:strCache>
                <c:ptCount val="1"/>
                <c:pt idx="0">
                  <c:v>Free cash flow $m</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trendline>
            <c:spPr>
              <a:noFill/>
              <a:ln w="25400" cap="flat">
                <a:solidFill>
                  <a:schemeClr val="accent1"/>
                </a:solidFill>
                <a:prstDash val="solid"/>
                <a:miter lim="400000"/>
              </a:ln>
              <a:effectLst>
                <a:outerShdw sx="100000" sy="100000" kx="0" ky="0" algn="tl" rotWithShape="1" blurRad="12700" dist="25400" dir="7320000">
                  <a:srgbClr val="000000">
                    <a:alpha val="25000"/>
                  </a:srgbClr>
                </a:outerShdw>
              </a:effectLst>
            </c:spPr>
            <c:trendlineType val="movingAvg"/>
            <c:period val="4"/>
            <c:forward val="0"/>
            <c:backward val="0"/>
            <c:dispRSqr val="0"/>
            <c:dispEq val="0"/>
          </c:trendline>
          <c:cat>
            <c:strRef>
              <c:f>'Cash Flow - Cash Flow quarterly'!$B$8:$B$28</c:f>
              <c:strCache>
                <c:ptCount val="21"/>
                <c:pt idx="0">
                  <c:v>2016</c:v>
                </c:pt>
                <c:pt idx="1">
                  <c:v/>
                </c:pt>
                <c:pt idx="2">
                  <c:v/>
                </c:pt>
                <c:pt idx="3">
                  <c:v/>
                </c:pt>
                <c:pt idx="4">
                  <c:v>2017</c:v>
                </c:pt>
                <c:pt idx="5">
                  <c:v/>
                </c:pt>
                <c:pt idx="6">
                  <c:v/>
                </c:pt>
                <c:pt idx="7">
                  <c:v/>
                </c:pt>
                <c:pt idx="8">
                  <c:v>2018</c:v>
                </c:pt>
                <c:pt idx="9">
                  <c:v/>
                </c:pt>
                <c:pt idx="10">
                  <c:v/>
                </c:pt>
                <c:pt idx="11">
                  <c:v/>
                </c:pt>
                <c:pt idx="12">
                  <c:v>2019</c:v>
                </c:pt>
                <c:pt idx="13">
                  <c:v/>
                </c:pt>
                <c:pt idx="14">
                  <c:v/>
                </c:pt>
                <c:pt idx="15">
                  <c:v/>
                </c:pt>
                <c:pt idx="16">
                  <c:v>2020</c:v>
                </c:pt>
                <c:pt idx="17">
                  <c:v/>
                </c:pt>
                <c:pt idx="18">
                  <c:v/>
                </c:pt>
                <c:pt idx="19">
                  <c:v/>
                </c:pt>
                <c:pt idx="20">
                  <c:v/>
                </c:pt>
              </c:strCache>
            </c:strRef>
          </c:cat>
          <c:val>
            <c:numRef>
              <c:f>'Cash Flow - Cash Flow quarterly'!$J$8:$J$28</c:f>
              <c:numCache>
                <c:ptCount val="20"/>
                <c:pt idx="0">
                  <c:v>8059.000000</c:v>
                </c:pt>
                <c:pt idx="1">
                  <c:v>5809.000000</c:v>
                </c:pt>
                <c:pt idx="2">
                  <c:v>9386.000000</c:v>
                </c:pt>
                <c:pt idx="3">
                  <c:v>4305.000000</c:v>
                </c:pt>
                <c:pt idx="4">
                  <c:v>8965.000000</c:v>
                </c:pt>
                <c:pt idx="5">
                  <c:v>8722.000000</c:v>
                </c:pt>
                <c:pt idx="6">
                  <c:v>10308.000000</c:v>
                </c:pt>
                <c:pt idx="7">
                  <c:v>5289.000000</c:v>
                </c:pt>
                <c:pt idx="8">
                  <c:v>9217.000000</c:v>
                </c:pt>
                <c:pt idx="9">
                  <c:v>7438.000000</c:v>
                </c:pt>
                <c:pt idx="10">
                  <c:v>10055.000000</c:v>
                </c:pt>
                <c:pt idx="11">
                  <c:v>5193.000000</c:v>
                </c:pt>
                <c:pt idx="12">
                  <c:v>10955.000000</c:v>
                </c:pt>
                <c:pt idx="13">
                  <c:v>12057.000000</c:v>
                </c:pt>
                <c:pt idx="14">
                  <c:v>10433.000000</c:v>
                </c:pt>
                <c:pt idx="15">
                  <c:v>7135.000000</c:v>
                </c:pt>
                <c:pt idx="16">
                  <c:v>13828.000000</c:v>
                </c:pt>
                <c:pt idx="17">
                  <c:v>13929.000000</c:v>
                </c:pt>
                <c:pt idx="18">
                  <c:v>14428.000000</c:v>
                </c:pt>
                <c:pt idx="19">
                  <c:v>8342.000000</c:v>
                </c:pt>
              </c:numCache>
            </c:numRef>
          </c:val>
          <c:smooth val="0"/>
        </c:ser>
        <c:ser>
          <c:idx val="1"/>
          <c:order val="1"/>
          <c:tx>
            <c:strRef>
              <c:f>'Cash Flow - Cash Flow quarterly'!$K$3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'Cash Flow - Cash Flow quarterly'!$B$8:$B$28</c:f>
              <c:strCache>
                <c:ptCount val="21"/>
                <c:pt idx="0">
                  <c:v>2016</c:v>
                </c:pt>
                <c:pt idx="1">
                  <c:v/>
                </c:pt>
                <c:pt idx="2">
                  <c:v/>
                </c:pt>
                <c:pt idx="3">
                  <c:v/>
                </c:pt>
                <c:pt idx="4">
                  <c:v>2017</c:v>
                </c:pt>
                <c:pt idx="5">
                  <c:v/>
                </c:pt>
                <c:pt idx="6">
                  <c:v/>
                </c:pt>
                <c:pt idx="7">
                  <c:v/>
                </c:pt>
                <c:pt idx="8">
                  <c:v>2018</c:v>
                </c:pt>
                <c:pt idx="9">
                  <c:v/>
                </c:pt>
                <c:pt idx="10">
                  <c:v/>
                </c:pt>
                <c:pt idx="11">
                  <c:v/>
                </c:pt>
                <c:pt idx="12">
                  <c:v>2019</c:v>
                </c:pt>
                <c:pt idx="13">
                  <c:v/>
                </c:pt>
                <c:pt idx="14">
                  <c:v/>
                </c:pt>
                <c:pt idx="15">
                  <c:v/>
                </c:pt>
                <c:pt idx="16">
                  <c:v>2020</c:v>
                </c:pt>
                <c:pt idx="17">
                  <c:v/>
                </c:pt>
                <c:pt idx="18">
                  <c:v/>
                </c:pt>
                <c:pt idx="19">
                  <c:v/>
                </c:pt>
                <c:pt idx="20">
                  <c:v/>
                </c:pt>
              </c:strCache>
            </c:strRef>
          </c:cat>
          <c:val>
            <c:numRef>
              <c:f>'Cash Flow - Cash Flow quarterly'!$K$8:$K$28</c:f>
              <c:numCache>
                <c:ptCount val="2"/>
                <c:pt idx="19">
                  <c:v>12631.750000</c:v>
                </c:pt>
                <c:pt idx="20">
                  <c:v>14414.875964</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5333.33"/>
        <c:minorUnit val="2666.67"/>
      </c:valAx>
      <c:spPr>
        <a:noFill/>
        <a:ln w="12700" cap="flat">
          <a:noFill/>
          <a:miter lim="400000"/>
        </a:ln>
        <a:effectLst/>
      </c:spPr>
    </c:plotArea>
    <c:legend>
      <c:legendPos val="r"/>
      <c:layout>
        <c:manualLayout>
          <c:xMode val="edge"/>
          <c:yMode val="edge"/>
          <c:x val="0.389923"/>
          <c:y val="0.0928657"/>
          <c:w val="0.355872"/>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65188"/>
          <c:y val="0.0426778"/>
          <c:w val="0.794374"/>
          <c:h val="0.886395"/>
        </c:manualLayout>
      </c:layout>
      <c:lineChart>
        <c:grouping val="standard"/>
        <c:varyColors val="0"/>
        <c:ser>
          <c:idx val="0"/>
          <c:order val="0"/>
          <c:tx>
            <c:strRef>
              <c:f>'Balance sheet - Assets'!$J$3</c:f>
              <c:strCache>
                <c:ptCount val="1"/>
                <c:pt idx="0">
                  <c:v>Net cash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Assets'!$B$8:$B$28</c:f>
              <c:strCache>
                <c:ptCount val="21"/>
                <c:pt idx="0">
                  <c:v>2016</c:v>
                </c:pt>
                <c:pt idx="1">
                  <c:v/>
                </c:pt>
                <c:pt idx="2">
                  <c:v/>
                </c:pt>
                <c:pt idx="3">
                  <c:v/>
                </c:pt>
                <c:pt idx="4">
                  <c:v>2017</c:v>
                </c:pt>
                <c:pt idx="5">
                  <c:v/>
                </c:pt>
                <c:pt idx="6">
                  <c:v/>
                </c:pt>
                <c:pt idx="7">
                  <c:v/>
                </c:pt>
                <c:pt idx="8">
                  <c:v>2018</c:v>
                </c:pt>
                <c:pt idx="9">
                  <c:v/>
                </c:pt>
                <c:pt idx="10">
                  <c:v/>
                </c:pt>
                <c:pt idx="11">
                  <c:v/>
                </c:pt>
                <c:pt idx="12">
                  <c:v>2019</c:v>
                </c:pt>
                <c:pt idx="13">
                  <c:v/>
                </c:pt>
                <c:pt idx="14">
                  <c:v/>
                </c:pt>
                <c:pt idx="15">
                  <c:v/>
                </c:pt>
                <c:pt idx="16">
                  <c:v>2020</c:v>
                </c:pt>
                <c:pt idx="17">
                  <c:v/>
                </c:pt>
                <c:pt idx="18">
                  <c:v/>
                </c:pt>
                <c:pt idx="19">
                  <c:v/>
                </c:pt>
                <c:pt idx="20">
                  <c:v>2,021</c:v>
                </c:pt>
              </c:strCache>
            </c:strRef>
          </c:cat>
          <c:val>
            <c:numRef>
              <c:f>'Balance sheet - Assets'!$J$8:$J$28</c:f>
              <c:numCache>
                <c:ptCount val="20"/>
                <c:pt idx="0">
                  <c:v>-99893.000000</c:v>
                </c:pt>
                <c:pt idx="1">
                  <c:v>-114961.000000</c:v>
                </c:pt>
                <c:pt idx="2">
                  <c:v>-128224.000000</c:v>
                </c:pt>
                <c:pt idx="3">
                  <c:v>-147333.000000</c:v>
                </c:pt>
                <c:pt idx="4">
                  <c:v>-148575.000000</c:v>
                </c:pt>
                <c:pt idx="5">
                  <c:v>-154938.000000</c:v>
                </c:pt>
                <c:pt idx="6">
                  <c:v>-152566.000000</c:v>
                </c:pt>
                <c:pt idx="7">
                  <c:v>-164784.000000</c:v>
                </c:pt>
                <c:pt idx="8">
                  <c:v>-157037.000000</c:v>
                </c:pt>
                <c:pt idx="9">
                  <c:v>-164184.000000</c:v>
                </c:pt>
                <c:pt idx="10">
                  <c:v>-156515.000000</c:v>
                </c:pt>
                <c:pt idx="11">
                  <c:v>-160093.000000</c:v>
                </c:pt>
                <c:pt idx="12">
                  <c:v>-157205.000000</c:v>
                </c:pt>
                <c:pt idx="13">
                  <c:v>-172870.000000</c:v>
                </c:pt>
                <c:pt idx="14">
                  <c:v>-159777.000000</c:v>
                </c:pt>
                <c:pt idx="15">
                  <c:v>-163821.000000</c:v>
                </c:pt>
                <c:pt idx="16">
                  <c:v>-159238.000000</c:v>
                </c:pt>
                <c:pt idx="17">
                  <c:v>-169431.000000</c:v>
                </c:pt>
                <c:pt idx="18">
                  <c:v>-160404.000000</c:v>
                </c:pt>
                <c:pt idx="19">
                  <c:v>-159469.000000</c:v>
                </c:pt>
              </c:numCache>
            </c:numRef>
          </c:val>
          <c:smooth val="0"/>
        </c:ser>
        <c:ser>
          <c:idx val="1"/>
          <c:order val="1"/>
          <c:tx>
            <c:strRef>
              <c:f>'Balance sheet - Assets'!$K$3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Assets'!$B$8:$B$28</c:f>
              <c:strCache>
                <c:ptCount val="21"/>
                <c:pt idx="0">
                  <c:v>2016</c:v>
                </c:pt>
                <c:pt idx="1">
                  <c:v/>
                </c:pt>
                <c:pt idx="2">
                  <c:v/>
                </c:pt>
                <c:pt idx="3">
                  <c:v/>
                </c:pt>
                <c:pt idx="4">
                  <c:v>2017</c:v>
                </c:pt>
                <c:pt idx="5">
                  <c:v/>
                </c:pt>
                <c:pt idx="6">
                  <c:v/>
                </c:pt>
                <c:pt idx="7">
                  <c:v/>
                </c:pt>
                <c:pt idx="8">
                  <c:v>2018</c:v>
                </c:pt>
                <c:pt idx="9">
                  <c:v/>
                </c:pt>
                <c:pt idx="10">
                  <c:v/>
                </c:pt>
                <c:pt idx="11">
                  <c:v/>
                </c:pt>
                <c:pt idx="12">
                  <c:v>2019</c:v>
                </c:pt>
                <c:pt idx="13">
                  <c:v/>
                </c:pt>
                <c:pt idx="14">
                  <c:v/>
                </c:pt>
                <c:pt idx="15">
                  <c:v/>
                </c:pt>
                <c:pt idx="16">
                  <c:v>2020</c:v>
                </c:pt>
                <c:pt idx="17">
                  <c:v/>
                </c:pt>
                <c:pt idx="18">
                  <c:v/>
                </c:pt>
                <c:pt idx="19">
                  <c:v/>
                </c:pt>
                <c:pt idx="20">
                  <c:v>2,021</c:v>
                </c:pt>
              </c:strCache>
            </c:strRef>
          </c:cat>
          <c:val>
            <c:numRef>
              <c:f>'Balance sheet - Assets'!$K$8:$K$28</c:f>
              <c:numCache>
                <c:ptCount val="2"/>
                <c:pt idx="19">
                  <c:v>-159469.000000</c:v>
                </c:pt>
                <c:pt idx="20">
                  <c:v>-148902.165895</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45000"/>
        <c:minorUnit val="22500"/>
      </c:valAx>
      <c:spPr>
        <a:noFill/>
        <a:ln w="12700" cap="flat">
          <a:noFill/>
          <a:miter lim="400000"/>
        </a:ln>
        <a:effectLst/>
      </c:spPr>
    </c:plotArea>
    <c:legend>
      <c:legendPos val="r"/>
      <c:layout>
        <c:manualLayout>
          <c:xMode val="edge"/>
          <c:yMode val="edge"/>
          <c:x val="0.357265"/>
          <c:y val="0.0968031"/>
          <c:w val="0.398097"/>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961346"/>
          <c:y val="0.0426778"/>
          <c:w val="0.879088"/>
          <c:h val="0.886395"/>
        </c:manualLayout>
      </c:layout>
      <c:lineChart>
        <c:grouping val="standard"/>
        <c:varyColors val="0"/>
        <c:ser>
          <c:idx val="0"/>
          <c:order val="0"/>
          <c:tx>
            <c:strRef>
              <c:f>'Share price - MSFT'!$D$3</c:f>
              <c:strCache>
                <c:ptCount val="1"/>
                <c:pt idx="0">
                  <c:v>MSFT</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'Share price - MSFT'!$B$28:$B$89</c:f>
              <c:strCache>
                <c:ptCount val="62"/>
                <c:pt idx="0">
                  <c:v>2016</c:v>
                </c:pt>
                <c:pt idx="1">
                  <c:v/>
                </c:pt>
                <c:pt idx="2">
                  <c:v/>
                </c:pt>
                <c:pt idx="3">
                  <c:v/>
                </c:pt>
                <c:pt idx="4">
                  <c:v/>
                </c:pt>
                <c:pt idx="5">
                  <c:v/>
                </c:pt>
                <c:pt idx="6">
                  <c:v/>
                </c:pt>
                <c:pt idx="7">
                  <c:v/>
                </c:pt>
                <c:pt idx="8">
                  <c:v/>
                </c:pt>
                <c:pt idx="9">
                  <c:v/>
                </c:pt>
                <c:pt idx="10">
                  <c:v/>
                </c:pt>
                <c:pt idx="11">
                  <c:v/>
                </c:pt>
                <c:pt idx="12">
                  <c:v>2017</c:v>
                </c:pt>
                <c:pt idx="13">
                  <c:v/>
                </c:pt>
                <c:pt idx="14">
                  <c:v/>
                </c:pt>
                <c:pt idx="15">
                  <c:v/>
                </c:pt>
                <c:pt idx="16">
                  <c:v/>
                </c:pt>
                <c:pt idx="17">
                  <c:v/>
                </c:pt>
                <c:pt idx="18">
                  <c:v/>
                </c:pt>
                <c:pt idx="19">
                  <c:v/>
                </c:pt>
                <c:pt idx="20">
                  <c:v/>
                </c:pt>
                <c:pt idx="21">
                  <c:v/>
                </c:pt>
                <c:pt idx="22">
                  <c:v/>
                </c:pt>
                <c:pt idx="23">
                  <c:v/>
                </c:pt>
                <c:pt idx="24">
                  <c:v>2018</c:v>
                </c:pt>
                <c:pt idx="25">
                  <c:v/>
                </c:pt>
                <c:pt idx="26">
                  <c:v/>
                </c:pt>
                <c:pt idx="27">
                  <c:v/>
                </c:pt>
                <c:pt idx="28">
                  <c:v/>
                </c:pt>
                <c:pt idx="29">
                  <c:v/>
                </c:pt>
                <c:pt idx="30">
                  <c:v/>
                </c:pt>
                <c:pt idx="31">
                  <c:v/>
                </c:pt>
                <c:pt idx="32">
                  <c:v/>
                </c:pt>
                <c:pt idx="33">
                  <c:v/>
                </c:pt>
                <c:pt idx="34">
                  <c:v/>
                </c:pt>
                <c:pt idx="35">
                  <c:v/>
                </c:pt>
                <c:pt idx="36">
                  <c:v>2019</c:v>
                </c:pt>
                <c:pt idx="37">
                  <c:v/>
                </c:pt>
                <c:pt idx="38">
                  <c:v/>
                </c:pt>
                <c:pt idx="39">
                  <c:v/>
                </c:pt>
                <c:pt idx="40">
                  <c:v/>
                </c:pt>
                <c:pt idx="41">
                  <c:v/>
                </c:pt>
                <c:pt idx="42">
                  <c:v/>
                </c:pt>
                <c:pt idx="43">
                  <c:v/>
                </c:pt>
                <c:pt idx="44">
                  <c:v/>
                </c:pt>
                <c:pt idx="45">
                  <c:v/>
                </c:pt>
                <c:pt idx="46">
                  <c:v/>
                </c:pt>
                <c:pt idx="47">
                  <c:v/>
                </c:pt>
                <c:pt idx="48">
                  <c:v>2020</c:v>
                </c:pt>
                <c:pt idx="49">
                  <c:v/>
                </c:pt>
                <c:pt idx="50">
                  <c:v/>
                </c:pt>
                <c:pt idx="51">
                  <c:v/>
                </c:pt>
                <c:pt idx="52">
                  <c:v/>
                </c:pt>
                <c:pt idx="53">
                  <c:v/>
                </c:pt>
                <c:pt idx="54">
                  <c:v/>
                </c:pt>
                <c:pt idx="55">
                  <c:v/>
                </c:pt>
                <c:pt idx="56">
                  <c:v/>
                </c:pt>
                <c:pt idx="57">
                  <c:v/>
                </c:pt>
                <c:pt idx="58">
                  <c:v/>
                </c:pt>
                <c:pt idx="59">
                  <c:v/>
                </c:pt>
                <c:pt idx="60">
                  <c:v>2021</c:v>
                </c:pt>
                <c:pt idx="61">
                  <c:v/>
                </c:pt>
              </c:strCache>
            </c:strRef>
          </c:cat>
          <c:val>
            <c:numRef>
              <c:f>'Share price - MSFT'!$D$28:$D$89</c:f>
              <c:numCache>
                <c:ptCount val="61"/>
                <c:pt idx="0">
                  <c:v>55.090000</c:v>
                </c:pt>
                <c:pt idx="1">
                  <c:v>50.880000</c:v>
                </c:pt>
                <c:pt idx="2">
                  <c:v>55.230000</c:v>
                </c:pt>
                <c:pt idx="3">
                  <c:v>49.870000</c:v>
                </c:pt>
                <c:pt idx="4">
                  <c:v>53.000000</c:v>
                </c:pt>
                <c:pt idx="5">
                  <c:v>51.170000</c:v>
                </c:pt>
                <c:pt idx="6">
                  <c:v>56.680000</c:v>
                </c:pt>
                <c:pt idx="7">
                  <c:v>57.460000</c:v>
                </c:pt>
                <c:pt idx="8">
                  <c:v>57.600000</c:v>
                </c:pt>
                <c:pt idx="9">
                  <c:v>59.920000</c:v>
                </c:pt>
                <c:pt idx="10">
                  <c:v>60.260000</c:v>
                </c:pt>
                <c:pt idx="11">
                  <c:v>62.140000</c:v>
                </c:pt>
                <c:pt idx="12">
                  <c:v>64.650000</c:v>
                </c:pt>
                <c:pt idx="13">
                  <c:v>63.980000</c:v>
                </c:pt>
                <c:pt idx="14">
                  <c:v>65.860000</c:v>
                </c:pt>
                <c:pt idx="15">
                  <c:v>68.460000</c:v>
                </c:pt>
                <c:pt idx="16">
                  <c:v>69.840000</c:v>
                </c:pt>
                <c:pt idx="17">
                  <c:v>68.930000</c:v>
                </c:pt>
                <c:pt idx="18">
                  <c:v>72.700000</c:v>
                </c:pt>
                <c:pt idx="19">
                  <c:v>74.770000</c:v>
                </c:pt>
                <c:pt idx="20">
                  <c:v>74.490000</c:v>
                </c:pt>
                <c:pt idx="21">
                  <c:v>83.180000</c:v>
                </c:pt>
                <c:pt idx="22">
                  <c:v>84.170000</c:v>
                </c:pt>
                <c:pt idx="23">
                  <c:v>85.540000</c:v>
                </c:pt>
                <c:pt idx="24">
                  <c:v>95.010000</c:v>
                </c:pt>
                <c:pt idx="25">
                  <c:v>93.770000</c:v>
                </c:pt>
                <c:pt idx="26">
                  <c:v>91.270000</c:v>
                </c:pt>
                <c:pt idx="27">
                  <c:v>93.520000</c:v>
                </c:pt>
                <c:pt idx="28">
                  <c:v>98.840000</c:v>
                </c:pt>
                <c:pt idx="29">
                  <c:v>98.610000</c:v>
                </c:pt>
                <c:pt idx="30">
                  <c:v>106.080000</c:v>
                </c:pt>
                <c:pt idx="31">
                  <c:v>112.330000</c:v>
                </c:pt>
                <c:pt idx="32">
                  <c:v>114.370000</c:v>
                </c:pt>
                <c:pt idx="33">
                  <c:v>106.810000</c:v>
                </c:pt>
                <c:pt idx="34">
                  <c:v>110.890000</c:v>
                </c:pt>
                <c:pt idx="35">
                  <c:v>101.570000</c:v>
                </c:pt>
                <c:pt idx="36">
                  <c:v>104.430000</c:v>
                </c:pt>
                <c:pt idx="37">
                  <c:v>112.030000</c:v>
                </c:pt>
                <c:pt idx="38">
                  <c:v>117.940000</c:v>
                </c:pt>
                <c:pt idx="39">
                  <c:v>130.600000</c:v>
                </c:pt>
                <c:pt idx="40">
                  <c:v>123.680000</c:v>
                </c:pt>
                <c:pt idx="41">
                  <c:v>133.960000</c:v>
                </c:pt>
                <c:pt idx="42">
                  <c:v>136.270000</c:v>
                </c:pt>
                <c:pt idx="43">
                  <c:v>137.860000</c:v>
                </c:pt>
                <c:pt idx="44">
                  <c:v>139.030000</c:v>
                </c:pt>
                <c:pt idx="45">
                  <c:v>143.370000</c:v>
                </c:pt>
                <c:pt idx="46">
                  <c:v>151.380000</c:v>
                </c:pt>
                <c:pt idx="47">
                  <c:v>157.700000</c:v>
                </c:pt>
                <c:pt idx="48">
                  <c:v>170.230000</c:v>
                </c:pt>
                <c:pt idx="49">
                  <c:v>162.010000</c:v>
                </c:pt>
                <c:pt idx="50">
                  <c:v>157.710000</c:v>
                </c:pt>
                <c:pt idx="51">
                  <c:v>179.210000</c:v>
                </c:pt>
                <c:pt idx="52">
                  <c:v>183.250000</c:v>
                </c:pt>
                <c:pt idx="53">
                  <c:v>203.019226</c:v>
                </c:pt>
                <c:pt idx="54">
                  <c:v>204.515610</c:v>
                </c:pt>
                <c:pt idx="55">
                  <c:v>225.529999</c:v>
                </c:pt>
                <c:pt idx="56">
                  <c:v>209.780777</c:v>
                </c:pt>
                <c:pt idx="57">
                  <c:v>201.941315</c:v>
                </c:pt>
                <c:pt idx="58">
                  <c:v>214.070007</c:v>
                </c:pt>
                <c:pt idx="59">
                  <c:v>222.419998</c:v>
                </c:pt>
                <c:pt idx="60">
                  <c:v>232.330002</c:v>
                </c:pt>
              </c:numCache>
            </c:numRef>
          </c:val>
          <c:smooth val="0"/>
        </c:ser>
        <c:ser>
          <c:idx val="1"/>
          <c:order val="1"/>
          <c:tx>
            <c:strRef>
              <c:f>'Share price - MSFT'!$E$3</c:f>
              <c:strCache>
                <c:ptCount val="1"/>
                <c:pt idx="0">
                  <c:v>Target</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'Share price - MSFT'!$B$28:$B$89</c:f>
              <c:strCache>
                <c:ptCount val="62"/>
                <c:pt idx="0">
                  <c:v>2016</c:v>
                </c:pt>
                <c:pt idx="1">
                  <c:v/>
                </c:pt>
                <c:pt idx="2">
                  <c:v/>
                </c:pt>
                <c:pt idx="3">
                  <c:v/>
                </c:pt>
                <c:pt idx="4">
                  <c:v/>
                </c:pt>
                <c:pt idx="5">
                  <c:v/>
                </c:pt>
                <c:pt idx="6">
                  <c:v/>
                </c:pt>
                <c:pt idx="7">
                  <c:v/>
                </c:pt>
                <c:pt idx="8">
                  <c:v/>
                </c:pt>
                <c:pt idx="9">
                  <c:v/>
                </c:pt>
                <c:pt idx="10">
                  <c:v/>
                </c:pt>
                <c:pt idx="11">
                  <c:v/>
                </c:pt>
                <c:pt idx="12">
                  <c:v>2017</c:v>
                </c:pt>
                <c:pt idx="13">
                  <c:v/>
                </c:pt>
                <c:pt idx="14">
                  <c:v/>
                </c:pt>
                <c:pt idx="15">
                  <c:v/>
                </c:pt>
                <c:pt idx="16">
                  <c:v/>
                </c:pt>
                <c:pt idx="17">
                  <c:v/>
                </c:pt>
                <c:pt idx="18">
                  <c:v/>
                </c:pt>
                <c:pt idx="19">
                  <c:v/>
                </c:pt>
                <c:pt idx="20">
                  <c:v/>
                </c:pt>
                <c:pt idx="21">
                  <c:v/>
                </c:pt>
                <c:pt idx="22">
                  <c:v/>
                </c:pt>
                <c:pt idx="23">
                  <c:v/>
                </c:pt>
                <c:pt idx="24">
                  <c:v>2018</c:v>
                </c:pt>
                <c:pt idx="25">
                  <c:v/>
                </c:pt>
                <c:pt idx="26">
                  <c:v/>
                </c:pt>
                <c:pt idx="27">
                  <c:v/>
                </c:pt>
                <c:pt idx="28">
                  <c:v/>
                </c:pt>
                <c:pt idx="29">
                  <c:v/>
                </c:pt>
                <c:pt idx="30">
                  <c:v/>
                </c:pt>
                <c:pt idx="31">
                  <c:v/>
                </c:pt>
                <c:pt idx="32">
                  <c:v/>
                </c:pt>
                <c:pt idx="33">
                  <c:v/>
                </c:pt>
                <c:pt idx="34">
                  <c:v/>
                </c:pt>
                <c:pt idx="35">
                  <c:v/>
                </c:pt>
                <c:pt idx="36">
                  <c:v>2019</c:v>
                </c:pt>
                <c:pt idx="37">
                  <c:v/>
                </c:pt>
                <c:pt idx="38">
                  <c:v/>
                </c:pt>
                <c:pt idx="39">
                  <c:v/>
                </c:pt>
                <c:pt idx="40">
                  <c:v/>
                </c:pt>
                <c:pt idx="41">
                  <c:v/>
                </c:pt>
                <c:pt idx="42">
                  <c:v/>
                </c:pt>
                <c:pt idx="43">
                  <c:v/>
                </c:pt>
                <c:pt idx="44">
                  <c:v/>
                </c:pt>
                <c:pt idx="45">
                  <c:v/>
                </c:pt>
                <c:pt idx="46">
                  <c:v/>
                </c:pt>
                <c:pt idx="47">
                  <c:v/>
                </c:pt>
                <c:pt idx="48">
                  <c:v>2020</c:v>
                </c:pt>
                <c:pt idx="49">
                  <c:v/>
                </c:pt>
                <c:pt idx="50">
                  <c:v/>
                </c:pt>
                <c:pt idx="51">
                  <c:v/>
                </c:pt>
                <c:pt idx="52">
                  <c:v/>
                </c:pt>
                <c:pt idx="53">
                  <c:v/>
                </c:pt>
                <c:pt idx="54">
                  <c:v/>
                </c:pt>
                <c:pt idx="55">
                  <c:v/>
                </c:pt>
                <c:pt idx="56">
                  <c:v/>
                </c:pt>
                <c:pt idx="57">
                  <c:v/>
                </c:pt>
                <c:pt idx="58">
                  <c:v/>
                </c:pt>
                <c:pt idx="59">
                  <c:v/>
                </c:pt>
                <c:pt idx="60">
                  <c:v>2021</c:v>
                </c:pt>
                <c:pt idx="61">
                  <c:v/>
                </c:pt>
              </c:strCache>
            </c:strRef>
          </c:cat>
          <c:val>
            <c:numRef>
              <c:f>'Share price - MSFT'!$E$28:$E$89</c:f>
              <c:numCache>
                <c:ptCount val="2"/>
                <c:pt idx="60">
                  <c:v>232.330002</c:v>
                </c:pt>
                <c:pt idx="61">
                  <c:v>286.214851</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75"/>
        <c:minorUnit val="37.5"/>
      </c:valAx>
      <c:spPr>
        <a:noFill/>
        <a:ln w="12700" cap="flat">
          <a:noFill/>
          <a:miter lim="400000"/>
        </a:ln>
        <a:effectLst/>
      </c:spPr>
    </c:plotArea>
    <c:legend>
      <c:legendPos val="r"/>
      <c:layout>
        <c:manualLayout>
          <c:xMode val="edge"/>
          <c:yMode val="edge"/>
          <c:x val="0.386686"/>
          <c:y val="0.0778286"/>
          <c:w val="0.324959"/>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535785</xdr:colOff>
      <xdr:row>2</xdr:row>
      <xdr:rowOff>13141</xdr:rowOff>
    </xdr:from>
    <xdr:to>
      <xdr:col>9</xdr:col>
      <xdr:colOff>671809</xdr:colOff>
      <xdr:row>15</xdr:row>
      <xdr:rowOff>33029</xdr:rowOff>
    </xdr:to>
    <xdr:graphicFrame>
      <xdr:nvGraphicFramePr>
        <xdr:cNvPr id="2" name="Chart 2"/>
        <xdr:cNvGraphicFramePr/>
      </xdr:nvGraphicFramePr>
      <xdr:xfrm>
        <a:off x="5260185" y="666556"/>
        <a:ext cx="3869825" cy="348762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9</xdr:col>
      <xdr:colOff>1147962</xdr:colOff>
      <xdr:row>2</xdr:row>
      <xdr:rowOff>13141</xdr:rowOff>
    </xdr:from>
    <xdr:to>
      <xdr:col>13</xdr:col>
      <xdr:colOff>41805</xdr:colOff>
      <xdr:row>15</xdr:row>
      <xdr:rowOff>33029</xdr:rowOff>
    </xdr:to>
    <xdr:graphicFrame>
      <xdr:nvGraphicFramePr>
        <xdr:cNvPr id="3" name="Chart 3"/>
        <xdr:cNvGraphicFramePr/>
      </xdr:nvGraphicFramePr>
      <xdr:xfrm>
        <a:off x="9606162" y="666556"/>
        <a:ext cx="3872244" cy="3487624"/>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9</xdr:col>
      <xdr:colOff>1088007</xdr:colOff>
      <xdr:row>31</xdr:row>
      <xdr:rowOff>202666</xdr:rowOff>
    </xdr:from>
    <xdr:to>
      <xdr:col>12</xdr:col>
      <xdr:colOff>1185374</xdr:colOff>
      <xdr:row>45</xdr:row>
      <xdr:rowOff>148259</xdr:rowOff>
    </xdr:to>
    <xdr:graphicFrame>
      <xdr:nvGraphicFramePr>
        <xdr:cNvPr id="4" name="Chart 4"/>
        <xdr:cNvGraphicFramePr/>
      </xdr:nvGraphicFramePr>
      <xdr:xfrm>
        <a:off x="9546207" y="8397976"/>
        <a:ext cx="3831168" cy="3487624"/>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6</xdr:col>
      <xdr:colOff>422183</xdr:colOff>
      <xdr:row>16</xdr:row>
      <xdr:rowOff>156481</xdr:rowOff>
    </xdr:from>
    <xdr:to>
      <xdr:col>9</xdr:col>
      <xdr:colOff>613951</xdr:colOff>
      <xdr:row>30</xdr:row>
      <xdr:rowOff>79214</xdr:rowOff>
    </xdr:to>
    <xdr:graphicFrame>
      <xdr:nvGraphicFramePr>
        <xdr:cNvPr id="5" name="Chart 5"/>
        <xdr:cNvGraphicFramePr/>
      </xdr:nvGraphicFramePr>
      <xdr:xfrm>
        <a:off x="5146583" y="4532266"/>
        <a:ext cx="3925569" cy="3487624"/>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9</xdr:col>
      <xdr:colOff>1035127</xdr:colOff>
      <xdr:row>16</xdr:row>
      <xdr:rowOff>183945</xdr:rowOff>
    </xdr:from>
    <xdr:to>
      <xdr:col>13</xdr:col>
      <xdr:colOff>142625</xdr:colOff>
      <xdr:row>30</xdr:row>
      <xdr:rowOff>106678</xdr:rowOff>
    </xdr:to>
    <xdr:graphicFrame>
      <xdr:nvGraphicFramePr>
        <xdr:cNvPr id="6" name="Chart 6"/>
        <xdr:cNvGraphicFramePr/>
      </xdr:nvGraphicFramePr>
      <xdr:xfrm>
        <a:off x="9493327" y="4559730"/>
        <a:ext cx="4085899" cy="3487624"/>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6</xdr:col>
      <xdr:colOff>583362</xdr:colOff>
      <xdr:row>31</xdr:row>
      <xdr:rowOff>202666</xdr:rowOff>
    </xdr:from>
    <xdr:to>
      <xdr:col>9</xdr:col>
      <xdr:colOff>615257</xdr:colOff>
      <xdr:row>45</xdr:row>
      <xdr:rowOff>148259</xdr:rowOff>
    </xdr:to>
    <xdr:graphicFrame>
      <xdr:nvGraphicFramePr>
        <xdr:cNvPr id="7" name="Chart 7"/>
        <xdr:cNvGraphicFramePr/>
      </xdr:nvGraphicFramePr>
      <xdr:xfrm>
        <a:off x="5307762" y="8397976"/>
        <a:ext cx="3765696" cy="3487624"/>
      </xdr:xfrm>
      <a:graphic xmlns:a="http://schemas.openxmlformats.org/drawingml/2006/main">
        <a:graphicData uri="http://schemas.openxmlformats.org/drawingml/2006/chart">
          <c:chart xmlns:c="http://schemas.openxmlformats.org/drawingml/2006/chart" r:id="rId6"/>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13</v>
      </c>
      <c r="C11" s="3"/>
      <c r="D11" s="3"/>
    </row>
    <row r="12">
      <c r="B12" s="4"/>
      <c r="C12" t="s" s="4">
        <v>14</v>
      </c>
      <c r="D12" t="s" s="5">
        <v>15</v>
      </c>
    </row>
    <row r="13">
      <c r="B13" t="s" s="3">
        <v>25</v>
      </c>
      <c r="C13" s="3"/>
      <c r="D13" s="3"/>
    </row>
    <row r="14">
      <c r="B14" s="4"/>
      <c r="C14" t="s" s="4">
        <v>26</v>
      </c>
      <c r="D14" t="s" s="5">
        <v>27</v>
      </c>
    </row>
    <row r="15">
      <c r="B15" t="s" s="3">
        <v>36</v>
      </c>
      <c r="C15" s="3"/>
      <c r="D15" s="3"/>
    </row>
    <row r="16">
      <c r="B16" s="4"/>
      <c r="C16" t="s" s="4">
        <v>37</v>
      </c>
      <c r="D16" t="s" s="5">
        <v>38</v>
      </c>
    </row>
    <row r="17">
      <c r="B17" t="s" s="3">
        <v>41</v>
      </c>
      <c r="C17" s="3"/>
      <c r="D17" s="3"/>
    </row>
    <row r="18">
      <c r="B18" s="4"/>
      <c r="C18" t="s" s="4">
        <v>42</v>
      </c>
      <c r="D18" t="s" s="5">
        <v>43</v>
      </c>
    </row>
    <row r="19">
      <c r="B19" t="s" s="3">
        <v>66</v>
      </c>
      <c r="C19" s="3"/>
      <c r="D19" s="3"/>
    </row>
    <row r="20">
      <c r="B20" s="4"/>
      <c r="C20" t="s" s="4">
        <v>66</v>
      </c>
      <c r="D20" t="s" s="5">
        <v>67</v>
      </c>
    </row>
  </sheetData>
  <mergeCells count="1">
    <mergeCell ref="B3:D3"/>
  </mergeCells>
  <hyperlinks>
    <hyperlink ref="D10" location="'Sales - Profit quarterly'!R3C2" tooltip="" display="Sales - Profit quarterly"/>
    <hyperlink ref="D12" location="'Cash Flow - Cash Flow quarterly'!R3C2" tooltip="" display="Cash Flow - Cash Flow quarterly"/>
    <hyperlink ref="D14" location="'Balance sheet - Assets'!R3C2" tooltip="" display="Balance sheet - Assets"/>
    <hyperlink ref="D16" location="'Share price - MSFT'!R3C2" tooltip="" display="Share price - MSFT"/>
    <hyperlink ref="D18" location="'Model - Financial model'!R3C2" tooltip="" display="Model - Financial model"/>
    <hyperlink ref="D20" location="'Valuation - Valuation'!R3C2" tooltip="" display="Valuation - Valuation"/>
  </hyperlinks>
</worksheet>
</file>

<file path=xl/worksheets/sheet2.xml><?xml version="1.0" encoding="utf-8"?>
<worksheet xmlns:r="http://schemas.openxmlformats.org/officeDocument/2006/relationships" xmlns="http://schemas.openxmlformats.org/spreadsheetml/2006/main">
  <sheetPr>
    <pageSetUpPr fitToPage="1"/>
  </sheetPr>
  <dimension ref="B3:I31"/>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5.5" style="6" customWidth="1"/>
    <col min="2" max="2" width="10.3984" style="6" customWidth="1"/>
    <col min="3" max="9" width="10.5391" style="6" customWidth="1"/>
    <col min="10" max="16384" width="16.3516" style="6" customWidth="1"/>
  </cols>
  <sheetData>
    <row r="1" ht="15" customHeight="1"/>
    <row r="2" ht="27.65" customHeight="1">
      <c r="B2" t="s" s="7">
        <v>5</v>
      </c>
      <c r="C2" s="7"/>
      <c r="D2" s="7"/>
      <c r="E2" s="7"/>
      <c r="F2" s="7"/>
      <c r="G2" s="7"/>
      <c r="H2" s="7"/>
      <c r="I2" s="7"/>
    </row>
    <row r="3" ht="32.25" customHeight="1">
      <c r="B3" t="s" s="8">
        <v>7</v>
      </c>
      <c r="C3" t="s" s="8">
        <v>8</v>
      </c>
      <c r="D3" t="s" s="8">
        <v>9</v>
      </c>
      <c r="E3" t="s" s="8">
        <v>4</v>
      </c>
      <c r="F3" t="s" s="8">
        <v>10</v>
      </c>
      <c r="G3" t="s" s="8">
        <v>11</v>
      </c>
      <c r="H3" t="s" s="8">
        <v>12</v>
      </c>
      <c r="I3" t="s" s="8">
        <v>10</v>
      </c>
    </row>
    <row r="4" ht="20.25" customHeight="1">
      <c r="B4" s="9">
        <v>2015</v>
      </c>
      <c r="C4" s="10">
        <v>15826</v>
      </c>
      <c r="D4" s="11">
        <v>5903</v>
      </c>
      <c r="E4" s="11">
        <v>21729</v>
      </c>
      <c r="F4" s="11"/>
      <c r="G4" s="12"/>
      <c r="H4" s="13">
        <f>('Cash Flow - Cash Flow quarterly'!C4+'Cash Flow - Cash Flow quarterly'!D4+'Cash Flow - Cash Flow quarterly'!E4-E4)/E4</f>
        <v>-0.700860601040085</v>
      </c>
      <c r="I4" s="13"/>
    </row>
    <row r="5" ht="20.05" customHeight="1">
      <c r="B5" s="14"/>
      <c r="C5" s="15">
        <v>17364</v>
      </c>
      <c r="D5" s="16">
        <v>4816</v>
      </c>
      <c r="E5" s="16">
        <v>22180</v>
      </c>
      <c r="F5" s="16"/>
      <c r="G5" s="17">
        <f>E5/E4-1</f>
        <v>0.0207556721432187</v>
      </c>
      <c r="H5" s="17">
        <f>('Cash Flow - Cash Flow quarterly'!C5+'Cash Flow - Cash Flow quarterly'!D5+'Cash Flow - Cash Flow quarterly'!E5-E5)/E5</f>
        <v>-0.474752028854824</v>
      </c>
      <c r="I5" s="17"/>
    </row>
    <row r="6" ht="20.05" customHeight="1">
      <c r="B6" s="14"/>
      <c r="C6" s="15">
        <v>15219</v>
      </c>
      <c r="D6" s="16">
        <v>5160</v>
      </c>
      <c r="E6" s="16">
        <v>20379</v>
      </c>
      <c r="F6" s="16"/>
      <c r="G6" s="17">
        <f>E6/E5-1</f>
        <v>-0.0811992786293959</v>
      </c>
      <c r="H6" s="17">
        <f>('Cash Flow - Cash Flow quarterly'!C6+'Cash Flow - Cash Flow quarterly'!D6+'Cash Flow - Cash Flow quarterly'!E6-E6)/E6</f>
        <v>-0.687766818784042</v>
      </c>
      <c r="I6" s="17"/>
    </row>
    <row r="7" ht="20.05" customHeight="1">
      <c r="B7" s="14"/>
      <c r="C7" s="15">
        <v>17974</v>
      </c>
      <c r="D7" s="16">
        <v>5822</v>
      </c>
      <c r="E7" s="16">
        <v>23796</v>
      </c>
      <c r="F7" s="16"/>
      <c r="G7" s="17">
        <f>E7/E6-1</f>
        <v>0.167672604151332</v>
      </c>
      <c r="H7" s="17">
        <f>('Cash Flow - Cash Flow quarterly'!C7+'Cash Flow - Cash Flow quarterly'!D7+'Cash Flow - Cash Flow quarterly'!E7-E7)/E7</f>
        <v>-0.724239367961002</v>
      </c>
      <c r="I7" s="17"/>
    </row>
    <row r="8" ht="20.05" customHeight="1">
      <c r="B8" s="18">
        <v>2016</v>
      </c>
      <c r="C8" s="15">
        <v>14321</v>
      </c>
      <c r="D8" s="16">
        <v>6210</v>
      </c>
      <c r="E8" s="16">
        <v>20531</v>
      </c>
      <c r="F8" s="16"/>
      <c r="G8" s="17">
        <f>E8/E7-1</f>
        <v>-0.137207934106573</v>
      </c>
      <c r="H8" s="17">
        <f>('Cash Flow - Cash Flow quarterly'!C8+'Cash Flow - Cash Flow quarterly'!D8+'Cash Flow - Cash Flow quarterly'!E8-E8)/E8</f>
        <v>-0.73391456821392</v>
      </c>
      <c r="I8" s="17"/>
    </row>
    <row r="9" ht="20.05" customHeight="1">
      <c r="B9" s="14"/>
      <c r="C9" s="15">
        <v>13988</v>
      </c>
      <c r="D9" s="16">
        <v>6626</v>
      </c>
      <c r="E9" s="16">
        <v>20614</v>
      </c>
      <c r="F9" s="16"/>
      <c r="G9" s="17">
        <f>E9/E8-1</f>
        <v>0.00404266718620622</v>
      </c>
      <c r="H9" s="17">
        <f>('Cash Flow - Cash Flow quarterly'!C9+'Cash Flow - Cash Flow quarterly'!D9+'Cash Flow - Cash Flow quarterly'!E9-E9)/E9</f>
        <v>-0.574415445813525</v>
      </c>
      <c r="I9" s="17"/>
    </row>
    <row r="10" ht="20.05" customHeight="1">
      <c r="B10" s="14"/>
      <c r="C10" s="15">
        <v>14968</v>
      </c>
      <c r="D10" s="16">
        <v>6960</v>
      </c>
      <c r="E10" s="16">
        <v>21928</v>
      </c>
      <c r="F10" s="16"/>
      <c r="G10" s="17">
        <f>E10/E9-1</f>
        <v>0.0637430872222761</v>
      </c>
      <c r="H10" s="17">
        <f>('Cash Flow - Cash Flow quarterly'!C10+'Cash Flow - Cash Flow quarterly'!D10+'Cash Flow - Cash Flow quarterly'!E10-E10)/E10</f>
        <v>-0.616244071506749</v>
      </c>
      <c r="I10" s="17"/>
    </row>
    <row r="11" ht="20.05" customHeight="1">
      <c r="B11" s="14"/>
      <c r="C11" s="15">
        <v>18273</v>
      </c>
      <c r="D11" s="16">
        <v>7553</v>
      </c>
      <c r="E11" s="16">
        <v>25826</v>
      </c>
      <c r="F11" s="16"/>
      <c r="G11" s="17">
        <f>E11/E10-1</f>
        <v>0.177763589930682</v>
      </c>
      <c r="H11" s="17">
        <f>('Cash Flow - Cash Flow quarterly'!C11+'Cash Flow - Cash Flow quarterly'!D11+'Cash Flow - Cash Flow quarterly'!E11-E11)/E11</f>
        <v>-0.668822117246186</v>
      </c>
      <c r="I11" s="17"/>
    </row>
    <row r="12" ht="20.05" customHeight="1">
      <c r="B12" s="18">
        <v>2017</v>
      </c>
      <c r="C12" s="15">
        <v>14513</v>
      </c>
      <c r="D12" s="16">
        <v>8699</v>
      </c>
      <c r="E12" s="16">
        <v>23212</v>
      </c>
      <c r="F12" s="16"/>
      <c r="G12" s="17">
        <f>E12/E11-1</f>
        <v>-0.101215829009525</v>
      </c>
      <c r="H12" s="17">
        <f>('Cash Flow - Cash Flow quarterly'!C12+'Cash Flow - Cash Flow quarterly'!D12+'Cash Flow - Cash Flow quarterly'!E12-E12)/E12</f>
        <v>-0.65759090125797</v>
      </c>
      <c r="I12" s="17"/>
    </row>
    <row r="13" ht="20.05" customHeight="1">
      <c r="B13" s="14"/>
      <c r="C13" s="15">
        <v>16057</v>
      </c>
      <c r="D13" s="16">
        <v>9548</v>
      </c>
      <c r="E13" s="16">
        <v>25605</v>
      </c>
      <c r="F13" s="16"/>
      <c r="G13" s="17">
        <f>E13/E12-1</f>
        <v>0.103093227640875</v>
      </c>
      <c r="H13" s="17">
        <f>('Cash Flow - Cash Flow quarterly'!C13+'Cash Flow - Cash Flow quarterly'!D13+'Cash Flow - Cash Flow quarterly'!E13-E13)/E13</f>
        <v>-0.62058191759422</v>
      </c>
      <c r="I13" s="17"/>
    </row>
    <row r="14" ht="20.05" customHeight="1">
      <c r="B14" s="14"/>
      <c r="C14" s="15">
        <v>14298</v>
      </c>
      <c r="D14" s="16">
        <v>10240</v>
      </c>
      <c r="E14" s="16">
        <v>24538</v>
      </c>
      <c r="F14" s="16"/>
      <c r="G14" s="17">
        <f>E14/E13-1</f>
        <v>-0.0416715485256786</v>
      </c>
      <c r="H14" s="17">
        <f>('Cash Flow - Cash Flow quarterly'!C14+'Cash Flow - Cash Flow quarterly'!D14+'Cash Flow - Cash Flow quarterly'!E14-E14)/E14</f>
        <v>-0.613986469964952</v>
      </c>
      <c r="I14" s="17"/>
    </row>
    <row r="15" ht="20.05" customHeight="1">
      <c r="B15" s="14"/>
      <c r="C15" s="15">
        <v>17926</v>
      </c>
      <c r="D15" s="16">
        <v>10992</v>
      </c>
      <c r="E15" s="16">
        <v>28918</v>
      </c>
      <c r="F15" s="16"/>
      <c r="G15" s="17">
        <f>E15/E14-1</f>
        <v>0.178498655147119</v>
      </c>
      <c r="H15" s="17">
        <f>('Cash Flow - Cash Flow quarterly'!C15+'Cash Flow - Cash Flow quarterly'!D15+'Cash Flow - Cash Flow quarterly'!E15-E15)/E15</f>
        <v>-1.20226156718999</v>
      </c>
      <c r="I15" s="17"/>
    </row>
    <row r="16" ht="20.05" customHeight="1">
      <c r="B16" s="18">
        <v>2018</v>
      </c>
      <c r="C16" s="15">
        <v>15114</v>
      </c>
      <c r="D16" s="16">
        <v>11705</v>
      </c>
      <c r="E16" s="16">
        <v>26819</v>
      </c>
      <c r="F16" s="16"/>
      <c r="G16" s="17">
        <f>E16/E15-1</f>
        <v>-0.07258454941558889</v>
      </c>
      <c r="H16" s="17">
        <f>('Cash Flow - Cash Flow quarterly'!C16+'Cash Flow - Cash Flow quarterly'!D16+'Cash Flow - Cash Flow quarterly'!E16-E16)/E16</f>
        <v>-0.61709981729371</v>
      </c>
      <c r="I16" s="17"/>
    </row>
    <row r="17" ht="20.05" customHeight="1">
      <c r="B17" s="14"/>
      <c r="C17" s="15">
        <v>17159</v>
      </c>
      <c r="D17" s="16">
        <v>12926</v>
      </c>
      <c r="E17" s="16">
        <v>30085</v>
      </c>
      <c r="F17" s="16"/>
      <c r="G17" s="17">
        <f>E17/E16-1</f>
        <v>0.121779335545695</v>
      </c>
      <c r="H17" s="17">
        <f>('Cash Flow - Cash Flow quarterly'!C17+'Cash Flow - Cash Flow quarterly'!D17+'Cash Flow - Cash Flow quarterly'!E17-E17)/E17</f>
        <v>-0.686056174173176</v>
      </c>
      <c r="I17" s="17"/>
    </row>
    <row r="18" ht="20.05" customHeight="1">
      <c r="B18" s="14"/>
      <c r="C18" s="15">
        <v>17299</v>
      </c>
      <c r="D18" s="16">
        <v>11785</v>
      </c>
      <c r="E18" s="16">
        <v>29084</v>
      </c>
      <c r="F18" s="16"/>
      <c r="G18" s="17">
        <f>E18/E17-1</f>
        <v>-0.03327239488117</v>
      </c>
      <c r="H18" s="17">
        <f>('Cash Flow - Cash Flow quarterly'!C18+'Cash Flow - Cash Flow quarterly'!D18+'Cash Flow - Cash Flow quarterly'!E18-E18)/E18</f>
        <v>-0.580834823270527</v>
      </c>
      <c r="I18" s="17"/>
    </row>
    <row r="19" ht="20.05" customHeight="1">
      <c r="B19" s="14"/>
      <c r="C19" s="15">
        <v>16219</v>
      </c>
      <c r="D19" s="16">
        <v>16252</v>
      </c>
      <c r="E19" s="16">
        <v>32471</v>
      </c>
      <c r="F19" s="16"/>
      <c r="G19" s="17">
        <f>E19/E18-1</f>
        <v>0.116455783248522</v>
      </c>
      <c r="H19" s="17">
        <f>('Cash Flow - Cash Flow quarterly'!C19+'Cash Flow - Cash Flow quarterly'!D19+'Cash Flow - Cash Flow quarterly'!E19-E19)/E19</f>
        <v>-0.621508422900434</v>
      </c>
      <c r="I19" s="17"/>
    </row>
    <row r="20" ht="20.05" customHeight="1">
      <c r="B20" s="18">
        <v>2019</v>
      </c>
      <c r="C20" s="15">
        <v>15448</v>
      </c>
      <c r="D20" s="16">
        <v>15123</v>
      </c>
      <c r="E20" s="16">
        <v>30571</v>
      </c>
      <c r="F20" s="16"/>
      <c r="G20" s="17">
        <f>E20/E19-1</f>
        <v>-0.0585137507314219</v>
      </c>
      <c r="H20" s="17">
        <f>('Cash Flow - Cash Flow quarterly'!C20+'Cash Flow - Cash Flow quarterly'!D20+'Cash Flow - Cash Flow quarterly'!E20-E20)/E20</f>
        <v>-0.577802492558307</v>
      </c>
      <c r="I20" s="17"/>
    </row>
    <row r="21" ht="20.05" customHeight="1">
      <c r="B21" s="14"/>
      <c r="C21" s="15">
        <v>17103</v>
      </c>
      <c r="D21" s="16">
        <v>16614</v>
      </c>
      <c r="E21" s="16">
        <v>33717</v>
      </c>
      <c r="F21" s="16"/>
      <c r="G21" s="17">
        <f>E21/E20-1</f>
        <v>0.102907984691374</v>
      </c>
      <c r="H21" s="17">
        <f>('Cash Flow - Cash Flow quarterly'!C21+'Cash Flow - Cash Flow quarterly'!D21+'Cash Flow - Cash Flow quarterly'!E21-E21)/E21</f>
        <v>-0.486876056588664</v>
      </c>
      <c r="I21" s="17"/>
    </row>
    <row r="22" ht="20.05" customHeight="1">
      <c r="B22" s="14"/>
      <c r="C22" s="15">
        <v>15768</v>
      </c>
      <c r="D22" s="16">
        <v>17287</v>
      </c>
      <c r="E22" s="16">
        <v>33055</v>
      </c>
      <c r="F22" s="16"/>
      <c r="G22" s="17">
        <f>E22/E21-1</f>
        <v>-0.0196340125159415</v>
      </c>
      <c r="H22" s="17">
        <f>('Cash Flow - Cash Flow quarterly'!C22+'Cash Flow - Cash Flow quarterly'!D22+'Cash Flow - Cash Flow quarterly'!E22-E22)/E22</f>
        <v>-0.548903342913326</v>
      </c>
      <c r="I22" s="17"/>
    </row>
    <row r="23" ht="20.05" customHeight="1">
      <c r="B23" s="14"/>
      <c r="C23" s="15">
        <v>18255</v>
      </c>
      <c r="D23" s="16">
        <v>18651</v>
      </c>
      <c r="E23" s="16">
        <v>36906</v>
      </c>
      <c r="F23" s="19"/>
      <c r="G23" s="17">
        <f>E23/E22-1</f>
        <v>0.116502798366359</v>
      </c>
      <c r="H23" s="17">
        <f>('Cash Flow - Cash Flow quarterly'!C23+'Cash Flow - Cash Flow quarterly'!D23+'Cash Flow - Cash Flow quarterly'!E23-E23)/E23</f>
        <v>-0.561263751151574</v>
      </c>
      <c r="I23" s="17"/>
    </row>
    <row r="24" ht="20.05" customHeight="1">
      <c r="B24" s="18">
        <v>2020</v>
      </c>
      <c r="C24" s="15">
        <v>15871</v>
      </c>
      <c r="D24" s="16">
        <v>19150</v>
      </c>
      <c r="E24" s="16">
        <v>35021</v>
      </c>
      <c r="F24" s="19"/>
      <c r="G24" s="17">
        <f>E24/E23-1</f>
        <v>-0.0510757058472877</v>
      </c>
      <c r="H24" s="17">
        <f>('Cash Flow - Cash Flow quarterly'!C24+'Cash Flow - Cash Flow quarterly'!D24+'Cash Flow - Cash Flow quarterly'!E24-E24)/E24</f>
        <v>-0.565746266525799</v>
      </c>
      <c r="I24" s="19"/>
    </row>
    <row r="25" ht="20.05" customHeight="1">
      <c r="B25" s="14"/>
      <c r="C25" s="15">
        <v>18147</v>
      </c>
      <c r="D25" s="16">
        <v>19886</v>
      </c>
      <c r="E25" s="16">
        <v>38033</v>
      </c>
      <c r="F25" s="16">
        <v>38774.55</v>
      </c>
      <c r="G25" s="17">
        <f>E25/E24-1</f>
        <v>0.0860055395334228</v>
      </c>
      <c r="H25" s="17">
        <f>('Cash Flow - Cash Flow quarterly'!C25+'Cash Flow - Cash Flow quarterly'!D25+'Cash Flow - Cash Flow quarterly'!E25-E25)/E25</f>
        <v>-0.5778665895406619</v>
      </c>
      <c r="I25" s="19"/>
    </row>
    <row r="26" ht="20.05" customHeight="1">
      <c r="B26" s="14"/>
      <c r="C26" s="15">
        <v>15803</v>
      </c>
      <c r="D26" s="16">
        <v>21351</v>
      </c>
      <c r="E26" s="16">
        <v>37154</v>
      </c>
      <c r="F26" s="16">
        <v>38013.25</v>
      </c>
      <c r="G26" s="17">
        <f>E26/E25-1</f>
        <v>-0.0231115084268924</v>
      </c>
      <c r="H26" s="17">
        <f>('Cash Flow - Cash Flow quarterly'!C26+'Cash Flow - Cash Flow quarterly'!D26+'Cash Flow - Cash Flow quarterly'!E26-E26)/E26</f>
        <v>-0.5194326317489369</v>
      </c>
      <c r="I26" s="19"/>
    </row>
    <row r="27" ht="20.05" customHeight="1">
      <c r="B27" s="14"/>
      <c r="C27" s="20">
        <v>19460</v>
      </c>
      <c r="D27" s="21">
        <v>23616</v>
      </c>
      <c r="E27" s="16">
        <v>43076</v>
      </c>
      <c r="F27" s="16">
        <v>41612.48</v>
      </c>
      <c r="G27" s="17">
        <f>E27/E26-1</f>
        <v>0.159390644345158</v>
      </c>
      <c r="H27" s="17">
        <f>('Cash Flow - Cash Flow quarterly'!C27+'Cash Flow - Cash Flow quarterly'!D27+'Cash Flow - Cash Flow quarterly'!E27-E27)/E27</f>
        <v>-0.549192125545547</v>
      </c>
      <c r="I27" s="17">
        <f>H27</f>
        <v>-0.549192125545547</v>
      </c>
    </row>
    <row r="28" ht="20.05" customHeight="1">
      <c r="B28" s="18">
        <v>2021</v>
      </c>
      <c r="C28" s="22">
        <f>C27/C26-1</f>
        <v>0.23141175726128</v>
      </c>
      <c r="D28" s="17">
        <f>D27/D26-1</f>
        <v>0.106084024167486</v>
      </c>
      <c r="E28" s="17"/>
      <c r="F28" s="16">
        <f>'Model - Financial model'!C6</f>
        <v>40491.44</v>
      </c>
      <c r="G28" s="19"/>
      <c r="H28" s="19"/>
      <c r="I28" s="23">
        <f>'Model - Financial model'!C7</f>
        <v>-0.568292202406012</v>
      </c>
    </row>
    <row r="29" ht="20.05" customHeight="1">
      <c r="B29" s="14"/>
      <c r="C29" s="15"/>
      <c r="D29" s="16"/>
      <c r="E29" s="16"/>
      <c r="F29" s="16">
        <f>'Model - Financial model'!D6</f>
        <v>44540.584</v>
      </c>
      <c r="G29" s="19"/>
      <c r="H29" s="19"/>
      <c r="I29" s="17"/>
    </row>
    <row r="30" ht="20.05" customHeight="1">
      <c r="B30" s="14"/>
      <c r="C30" s="15"/>
      <c r="D30" s="16"/>
      <c r="E30" s="16"/>
      <c r="F30" s="16">
        <f>'Model - Financial model'!E6</f>
        <v>43649.77232</v>
      </c>
      <c r="G30" s="19"/>
      <c r="H30" s="17"/>
      <c r="I30" s="17"/>
    </row>
    <row r="31" ht="20.05" customHeight="1">
      <c r="B31" s="14"/>
      <c r="C31" s="15"/>
      <c r="D31" s="16"/>
      <c r="E31" s="16"/>
      <c r="F31" s="16">
        <f>'Model - Financial model'!F6</f>
        <v>47578.2518288</v>
      </c>
      <c r="G31" s="19"/>
      <c r="H31" s="19"/>
      <c r="I31" s="17"/>
    </row>
  </sheetData>
  <mergeCells count="1">
    <mergeCell ref="B2:I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B3:L2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4.71875" style="24" customWidth="1"/>
    <col min="2" max="2" width="9.9375" style="24" customWidth="1"/>
    <col min="3" max="3" width="10" style="24" customWidth="1"/>
    <col min="4" max="4" width="12.5547" style="24" customWidth="1"/>
    <col min="5" max="12" width="10" style="24" customWidth="1"/>
    <col min="13" max="16384" width="16.3516" style="24" customWidth="1"/>
  </cols>
  <sheetData>
    <row r="1" ht="26.9" customHeight="1"/>
    <row r="2" ht="27.65" customHeight="1">
      <c r="B2" t="s" s="7">
        <v>14</v>
      </c>
      <c r="C2" s="7"/>
      <c r="D2" s="7"/>
      <c r="E2" s="7"/>
      <c r="F2" s="7"/>
      <c r="G2" s="7"/>
      <c r="H2" s="7"/>
      <c r="I2" s="7"/>
      <c r="J2" s="7"/>
      <c r="K2" s="7"/>
      <c r="L2" s="7"/>
    </row>
    <row r="3" ht="44.25" customHeight="1">
      <c r="B3" t="s" s="8">
        <v>7</v>
      </c>
      <c r="C3" t="s" s="8">
        <v>16</v>
      </c>
      <c r="D3" t="s" s="8">
        <v>17</v>
      </c>
      <c r="E3" t="s" s="8">
        <v>18</v>
      </c>
      <c r="F3" t="s" s="8">
        <v>19</v>
      </c>
      <c r="G3" t="s" s="8">
        <v>20</v>
      </c>
      <c r="H3" t="s" s="8">
        <v>21</v>
      </c>
      <c r="I3" t="s" s="8">
        <v>22</v>
      </c>
      <c r="J3" t="s" s="8">
        <v>23</v>
      </c>
      <c r="K3" t="s" s="8">
        <v>10</v>
      </c>
      <c r="L3" t="s" s="8">
        <v>24</v>
      </c>
    </row>
    <row r="4" ht="20.35" customHeight="1">
      <c r="B4" s="9">
        <v>2015</v>
      </c>
      <c r="C4" s="10">
        <v>4985</v>
      </c>
      <c r="D4" s="11">
        <v>1515</v>
      </c>
      <c r="E4" s="11"/>
      <c r="F4" s="11">
        <v>-1391</v>
      </c>
      <c r="G4" s="11">
        <v>9601</v>
      </c>
      <c r="H4" s="11">
        <v>-5481</v>
      </c>
      <c r="I4" s="11">
        <v>-3096</v>
      </c>
      <c r="J4" s="11">
        <f>G4+F4</f>
        <v>8210</v>
      </c>
      <c r="K4" s="11"/>
      <c r="L4" s="11"/>
    </row>
    <row r="5" ht="20.15" customHeight="1">
      <c r="B5" s="14"/>
      <c r="C5" s="15">
        <f>12193-SUM(C4:C4)</f>
        <v>7208</v>
      </c>
      <c r="D5" s="16">
        <f>5957-SUM(D4:D4)</f>
        <v>4442</v>
      </c>
      <c r="E5" s="16"/>
      <c r="F5" s="16">
        <v>-1781</v>
      </c>
      <c r="G5" s="16">
        <f>29668-SUM(G4:G4)</f>
        <v>20067</v>
      </c>
      <c r="H5" s="16">
        <f>-23001-SUM(H4:H4)</f>
        <v>-17520</v>
      </c>
      <c r="I5" s="16">
        <f>-9668-SUM(I4:I4)</f>
        <v>-6572</v>
      </c>
      <c r="J5" s="16">
        <f>G5+F5</f>
        <v>18286</v>
      </c>
      <c r="K5" s="16"/>
      <c r="L5" s="16"/>
    </row>
    <row r="6" ht="20.15" customHeight="1">
      <c r="B6" s="14"/>
      <c r="C6" s="15">
        <v>4902</v>
      </c>
      <c r="D6" s="16">
        <v>1461</v>
      </c>
      <c r="E6" s="16"/>
      <c r="F6" s="16">
        <v>-1356</v>
      </c>
      <c r="G6" s="16">
        <v>8876</v>
      </c>
      <c r="H6" s="16">
        <v>-5066</v>
      </c>
      <c r="I6" s="16">
        <v>-3930</v>
      </c>
      <c r="J6" s="16">
        <f>G6+F6</f>
        <v>7520</v>
      </c>
      <c r="K6" s="16"/>
      <c r="L6" s="16"/>
    </row>
    <row r="7" ht="20.15" customHeight="1">
      <c r="B7" s="14"/>
      <c r="C7" s="15">
        <v>5018</v>
      </c>
      <c r="D7" s="16">
        <v>1544</v>
      </c>
      <c r="E7" s="16"/>
      <c r="F7" s="16">
        <v>-2024</v>
      </c>
      <c r="G7" s="16">
        <v>5618</v>
      </c>
      <c r="H7" s="16">
        <v>-3328</v>
      </c>
      <c r="I7" s="16">
        <v>-518</v>
      </c>
      <c r="J7" s="16">
        <f>G7+F7</f>
        <v>3594</v>
      </c>
      <c r="K7" s="16"/>
      <c r="L7" s="16"/>
    </row>
    <row r="8" ht="20.15" customHeight="1">
      <c r="B8" s="18">
        <v>2016</v>
      </c>
      <c r="C8" s="15">
        <v>3756</v>
      </c>
      <c r="D8" s="16">
        <v>1707</v>
      </c>
      <c r="E8" s="16"/>
      <c r="F8" s="16">
        <v>-2308</v>
      </c>
      <c r="G8" s="16">
        <v>10367</v>
      </c>
      <c r="H8" s="16">
        <v>-5483</v>
      </c>
      <c r="I8" s="16">
        <v>-4916</v>
      </c>
      <c r="J8" s="16">
        <f>G8+F8</f>
        <v>8059</v>
      </c>
      <c r="K8" s="16"/>
      <c r="L8" s="16">
        <f>-I8</f>
        <v>4916</v>
      </c>
    </row>
    <row r="9" ht="20.15" customHeight="1">
      <c r="B9" s="14"/>
      <c r="C9" s="15">
        <f>20539-SUM(C6:C8)</f>
        <v>6863</v>
      </c>
      <c r="D9" s="16">
        <f>6622-SUM(D6:D8)</f>
        <v>1910</v>
      </c>
      <c r="E9" s="16"/>
      <c r="F9" s="16">
        <v>-2655</v>
      </c>
      <c r="G9" s="16">
        <f>33325-SUM(G6:G8)</f>
        <v>8464</v>
      </c>
      <c r="H9" s="16">
        <f>-23950-SUM(H6:H8)</f>
        <v>-10073</v>
      </c>
      <c r="I9" s="16">
        <f>-8393-SUM(I6:I8)</f>
        <v>971</v>
      </c>
      <c r="J9" s="16">
        <f>G9+F9</f>
        <v>5809</v>
      </c>
      <c r="K9" s="16"/>
      <c r="L9" s="16">
        <f>-I9+L8</f>
        <v>3945</v>
      </c>
    </row>
    <row r="10" ht="20.15" customHeight="1">
      <c r="B10" s="14"/>
      <c r="C10" s="15">
        <v>5667</v>
      </c>
      <c r="D10" s="16">
        <v>1816</v>
      </c>
      <c r="E10" s="16">
        <f>703-311+540</f>
        <v>932</v>
      </c>
      <c r="F10" s="16">
        <v>-2163</v>
      </c>
      <c r="G10" s="16">
        <v>11549</v>
      </c>
      <c r="H10" s="16">
        <v>-18470</v>
      </c>
      <c r="I10" s="16">
        <v>14329</v>
      </c>
      <c r="J10" s="16">
        <f>G10+F10</f>
        <v>9386</v>
      </c>
      <c r="K10" s="16"/>
      <c r="L10" s="16">
        <f>-I10+L9</f>
        <v>-10384</v>
      </c>
    </row>
    <row r="11" ht="20.15" customHeight="1">
      <c r="B11" s="14"/>
      <c r="C11" s="15">
        <v>6267</v>
      </c>
      <c r="D11" s="16">
        <v>2166</v>
      </c>
      <c r="E11" s="16">
        <f>767-652+5</f>
        <v>120</v>
      </c>
      <c r="F11" s="16">
        <v>-1988</v>
      </c>
      <c r="G11" s="16">
        <v>6293</v>
      </c>
      <c r="H11" s="16">
        <v>-14751</v>
      </c>
      <c r="I11" s="16">
        <v>3016</v>
      </c>
      <c r="J11" s="16">
        <f>G11+F11</f>
        <v>4305</v>
      </c>
      <c r="K11" s="16"/>
      <c r="L11" s="16">
        <f>-I11+L10</f>
        <v>-13400</v>
      </c>
    </row>
    <row r="12" ht="20.15" customHeight="1">
      <c r="B12" s="18">
        <v>2017</v>
      </c>
      <c r="C12" s="15">
        <v>5486</v>
      </c>
      <c r="D12" s="16">
        <v>2453</v>
      </c>
      <c r="E12" s="16">
        <f>883-590-284</f>
        <v>9</v>
      </c>
      <c r="F12" s="16">
        <v>-1695</v>
      </c>
      <c r="G12" s="16">
        <v>10660</v>
      </c>
      <c r="H12" s="16">
        <v>-6191</v>
      </c>
      <c r="I12" s="16">
        <v>-6236</v>
      </c>
      <c r="J12" s="16">
        <f>G12+F12</f>
        <v>8965</v>
      </c>
      <c r="K12" s="16"/>
      <c r="L12" s="16">
        <f>-I12+L11</f>
        <v>-7164</v>
      </c>
    </row>
    <row r="13" ht="20.15" customHeight="1">
      <c r="B13" s="14"/>
      <c r="C13" s="15">
        <f>25489-SUM(C10:C12)</f>
        <v>8069</v>
      </c>
      <c r="D13" s="16">
        <f>8778-SUM(D10:D12)</f>
        <v>2343</v>
      </c>
      <c r="E13" s="16">
        <f>913-520-1090</f>
        <v>-697</v>
      </c>
      <c r="F13" s="16">
        <v>-2283</v>
      </c>
      <c r="G13" s="16">
        <f>39507-SUM(G10:G12)</f>
        <v>11005</v>
      </c>
      <c r="H13" s="16">
        <f>-46781-SUM(H10:H12)</f>
        <v>-7369</v>
      </c>
      <c r="I13" s="16">
        <f>8408-SUM(I10:I12)</f>
        <v>-2701</v>
      </c>
      <c r="J13" s="16">
        <f>G13+F13</f>
        <v>8722</v>
      </c>
      <c r="K13" s="16"/>
      <c r="L13" s="16">
        <f>-I13+L12</f>
        <v>-4463</v>
      </c>
    </row>
    <row r="14" ht="20.15" customHeight="1">
      <c r="B14" s="14"/>
      <c r="C14" s="15">
        <v>6576</v>
      </c>
      <c r="D14" s="16">
        <v>2499</v>
      </c>
      <c r="E14" s="16">
        <f>973-523-53</f>
        <v>397</v>
      </c>
      <c r="F14" s="16">
        <v>-2132</v>
      </c>
      <c r="G14" s="16">
        <v>12440</v>
      </c>
      <c r="H14" s="16">
        <v>-6904</v>
      </c>
      <c r="I14" s="16">
        <v>-6341</v>
      </c>
      <c r="J14" s="16">
        <f>G14+F14</f>
        <v>10308</v>
      </c>
      <c r="K14" s="16"/>
      <c r="L14" s="16">
        <f>-I14+L13</f>
        <v>1878</v>
      </c>
    </row>
    <row r="15" ht="20.15" customHeight="1">
      <c r="B15" s="14"/>
      <c r="C15" s="15">
        <v>-6302</v>
      </c>
      <c r="D15" s="16">
        <v>2536</v>
      </c>
      <c r="E15" s="16">
        <f>906-684-2305</f>
        <v>-2083</v>
      </c>
      <c r="F15" s="16">
        <v>-2586</v>
      </c>
      <c r="G15" s="16">
        <v>7875</v>
      </c>
      <c r="H15" s="16">
        <v>-331</v>
      </c>
      <c r="I15" s="16">
        <v>-1552</v>
      </c>
      <c r="J15" s="16">
        <f>G15+F15</f>
        <v>5289</v>
      </c>
      <c r="K15" s="16"/>
      <c r="L15" s="16">
        <f>-I15+L14</f>
        <v>3430</v>
      </c>
    </row>
    <row r="16" ht="20.15" customHeight="1">
      <c r="B16" s="18">
        <v>2018</v>
      </c>
      <c r="C16" s="15">
        <v>7424</v>
      </c>
      <c r="D16" s="16">
        <v>2710</v>
      </c>
      <c r="E16" s="16">
        <f>969-438-396</f>
        <v>135</v>
      </c>
      <c r="F16" s="16">
        <v>-2934</v>
      </c>
      <c r="G16" s="16">
        <v>12151</v>
      </c>
      <c r="H16" s="16">
        <v>3844</v>
      </c>
      <c r="I16" s="16">
        <v>-19658</v>
      </c>
      <c r="J16" s="16">
        <f>G16+F16</f>
        <v>9217</v>
      </c>
      <c r="K16" s="16"/>
      <c r="L16" s="16">
        <f>-I16+L15</f>
        <v>23088</v>
      </c>
    </row>
    <row r="17" ht="20.15" customHeight="1">
      <c r="B17" s="14"/>
      <c r="C17" s="15">
        <f>16571-SUM(C14:C16)</f>
        <v>8873</v>
      </c>
      <c r="D17" s="16">
        <f>10261-SUM(D14:D16)</f>
        <v>2516</v>
      </c>
      <c r="E17" s="16">
        <f>1012-567-2389</f>
        <v>-1944</v>
      </c>
      <c r="F17" s="16">
        <v>-3980</v>
      </c>
      <c r="G17" s="16">
        <f>43884-SUM(G14:G16)</f>
        <v>11418</v>
      </c>
      <c r="H17" s="16">
        <f>-6061-SUM(H14:H16)</f>
        <v>-2670</v>
      </c>
      <c r="I17" s="16">
        <f>-33590-SUM(I14:I16)</f>
        <v>-6039</v>
      </c>
      <c r="J17" s="16">
        <f>G17+F17</f>
        <v>7438</v>
      </c>
      <c r="K17" s="16"/>
      <c r="L17" s="16">
        <f>-I17+L16</f>
        <v>29127</v>
      </c>
    </row>
    <row r="18" ht="20.15" customHeight="1">
      <c r="B18" s="14"/>
      <c r="C18" s="15">
        <v>8824</v>
      </c>
      <c r="D18" s="16">
        <v>2837</v>
      </c>
      <c r="E18" s="16">
        <f>1017-240-247</f>
        <v>530</v>
      </c>
      <c r="F18" s="16">
        <v>-3602</v>
      </c>
      <c r="G18" s="16">
        <v>13657</v>
      </c>
      <c r="H18" s="16">
        <v>-2953</v>
      </c>
      <c r="I18" s="16">
        <v>-7384</v>
      </c>
      <c r="J18" s="16">
        <f>G18+F18</f>
        <v>10055</v>
      </c>
      <c r="K18" s="16"/>
      <c r="L18" s="16">
        <f>-I18+L17</f>
        <v>36511</v>
      </c>
    </row>
    <row r="19" ht="20.15" customHeight="1">
      <c r="B19" s="14"/>
      <c r="C19" s="15">
        <v>8420</v>
      </c>
      <c r="D19" s="16">
        <v>2995</v>
      </c>
      <c r="E19" s="16">
        <f>1183-135-173</f>
        <v>875</v>
      </c>
      <c r="F19" s="16">
        <v>-3707</v>
      </c>
      <c r="G19" s="16">
        <v>8900</v>
      </c>
      <c r="H19" s="16">
        <v>-4200</v>
      </c>
      <c r="I19" s="16">
        <v>-13216</v>
      </c>
      <c r="J19" s="16">
        <f>G19+F19</f>
        <v>5193</v>
      </c>
      <c r="K19" s="16"/>
      <c r="L19" s="16">
        <f>-I19+L18</f>
        <v>49727</v>
      </c>
    </row>
    <row r="20" ht="20.15" customHeight="1">
      <c r="B20" s="18">
        <v>2019</v>
      </c>
      <c r="C20" s="15">
        <v>8809</v>
      </c>
      <c r="D20" s="16">
        <v>2926</v>
      </c>
      <c r="E20" s="16">
        <v>1172</v>
      </c>
      <c r="F20" s="16">
        <v>-2565</v>
      </c>
      <c r="G20" s="16">
        <v>13520</v>
      </c>
      <c r="H20" s="16">
        <v>-1363</v>
      </c>
      <c r="I20" s="16">
        <v>-7601</v>
      </c>
      <c r="J20" s="16">
        <f>G20+F20</f>
        <v>10955</v>
      </c>
      <c r="K20" s="16"/>
      <c r="L20" s="16">
        <f>-I20+L19</f>
        <v>57328</v>
      </c>
    </row>
    <row r="21" ht="20.15" customHeight="1">
      <c r="B21" s="14"/>
      <c r="C21" s="15">
        <f>39240-SUM(C18:C20)</f>
        <v>13187</v>
      </c>
      <c r="D21" s="16">
        <f>11682-SUM(D18:D20)</f>
        <v>2924</v>
      </c>
      <c r="E21" s="16">
        <v>1190</v>
      </c>
      <c r="F21" s="16">
        <v>-4051</v>
      </c>
      <c r="G21" s="16">
        <f>52185-SUM(G18:G20)</f>
        <v>16108</v>
      </c>
      <c r="H21" s="16">
        <f>-15773-SUM(H18:H20)</f>
        <v>-7257</v>
      </c>
      <c r="I21" s="16">
        <f>-36887-SUM(I18:I20)</f>
        <v>-8686</v>
      </c>
      <c r="J21" s="16">
        <f>G21+F21</f>
        <v>12057</v>
      </c>
      <c r="K21" s="16"/>
      <c r="L21" s="16">
        <f>-I21+L20</f>
        <v>66014</v>
      </c>
    </row>
    <row r="22" ht="20.15" customHeight="1">
      <c r="B22" s="14"/>
      <c r="C22" s="15">
        <v>10678</v>
      </c>
      <c r="D22" s="16">
        <v>2971</v>
      </c>
      <c r="E22" s="16">
        <v>1262</v>
      </c>
      <c r="F22" s="16">
        <v>-3385</v>
      </c>
      <c r="G22" s="16">
        <v>13818</v>
      </c>
      <c r="H22" s="16">
        <v>-1776</v>
      </c>
      <c r="I22" s="16">
        <v>-10209</v>
      </c>
      <c r="J22" s="16">
        <f>G22+F22</f>
        <v>10433</v>
      </c>
      <c r="K22" s="16"/>
      <c r="L22" s="16">
        <f>-I22+L21</f>
        <v>76223</v>
      </c>
    </row>
    <row r="23" ht="20.15" customHeight="1">
      <c r="B23" s="14"/>
      <c r="C23" s="15">
        <v>11649</v>
      </c>
      <c r="D23" s="16">
        <v>3203</v>
      </c>
      <c r="E23" s="16">
        <v>1340</v>
      </c>
      <c r="F23" s="16">
        <v>-3545</v>
      </c>
      <c r="G23" s="16">
        <v>10680</v>
      </c>
      <c r="H23" s="16">
        <v>-6036</v>
      </c>
      <c r="I23" s="16">
        <v>-8915</v>
      </c>
      <c r="J23" s="16">
        <f>G23+F23</f>
        <v>7135</v>
      </c>
      <c r="K23" s="16"/>
      <c r="L23" s="16">
        <f>-I23+L22</f>
        <v>85138</v>
      </c>
    </row>
    <row r="24" ht="20.15" customHeight="1">
      <c r="B24" s="18">
        <v>2020</v>
      </c>
      <c r="C24" s="15">
        <v>10752</v>
      </c>
      <c r="D24" s="16">
        <v>3118</v>
      </c>
      <c r="E24" s="16">
        <v>1338</v>
      </c>
      <c r="F24" s="16">
        <v>-3676</v>
      </c>
      <c r="G24" s="16">
        <v>17504</v>
      </c>
      <c r="H24" s="16">
        <v>51</v>
      </c>
      <c r="I24" s="16">
        <v>-14645</v>
      </c>
      <c r="J24" s="16">
        <f>G24+F24</f>
        <v>13828</v>
      </c>
      <c r="K24" s="16"/>
      <c r="L24" s="16">
        <f>-I24+L23</f>
        <v>99783</v>
      </c>
    </row>
    <row r="25" ht="20.15" customHeight="1">
      <c r="B25" s="14"/>
      <c r="C25" s="15">
        <v>11202</v>
      </c>
      <c r="D25" s="16">
        <v>3504</v>
      </c>
      <c r="E25" s="16">
        <v>1349</v>
      </c>
      <c r="F25" s="16">
        <v>-4744</v>
      </c>
      <c r="G25" s="16">
        <v>18673</v>
      </c>
      <c r="H25" s="16">
        <v>-12262</v>
      </c>
      <c r="I25" s="16">
        <v>-4462</v>
      </c>
      <c r="J25" s="16">
        <f>G25+F25</f>
        <v>13929</v>
      </c>
      <c r="K25" s="16"/>
      <c r="L25" s="16">
        <f>-I25+L24</f>
        <v>104245</v>
      </c>
    </row>
    <row r="26" ht="20.15" customHeight="1">
      <c r="B26" s="14"/>
      <c r="C26" s="15">
        <v>13893</v>
      </c>
      <c r="D26" s="16">
        <v>2645</v>
      </c>
      <c r="E26" s="16">
        <f>1456-128-11</f>
        <v>1317</v>
      </c>
      <c r="F26" s="16">
        <v>-4907</v>
      </c>
      <c r="G26" s="16">
        <v>19335</v>
      </c>
      <c r="H26" s="16">
        <v>-5371</v>
      </c>
      <c r="I26" s="16">
        <v>-10289</v>
      </c>
      <c r="J26" s="16">
        <f>G26+F26</f>
        <v>14428</v>
      </c>
      <c r="K26" s="16"/>
      <c r="L26" s="16">
        <f>-I26+L25</f>
        <v>114534</v>
      </c>
    </row>
    <row r="27" ht="20.15" customHeight="1">
      <c r="B27" s="25"/>
      <c r="C27" s="15">
        <v>15463</v>
      </c>
      <c r="D27" s="16">
        <v>2761</v>
      </c>
      <c r="E27" s="16">
        <f>1566-354-17</f>
        <v>1195</v>
      </c>
      <c r="F27" s="16">
        <v>-4174</v>
      </c>
      <c r="G27" s="16">
        <v>12516</v>
      </c>
      <c r="H27" s="16">
        <v>-1669</v>
      </c>
      <c r="I27" s="16">
        <v>-13634</v>
      </c>
      <c r="J27" s="16">
        <f>G27+F27</f>
        <v>8342</v>
      </c>
      <c r="K27" s="16">
        <f>AVERAGE(J24:J27)</f>
        <v>12631.75</v>
      </c>
      <c r="L27" s="16">
        <f>-I27+L26</f>
        <v>128168</v>
      </c>
    </row>
    <row r="28" ht="20.15" customHeight="1">
      <c r="B28" s="25"/>
      <c r="C28" s="15"/>
      <c r="D28" s="16"/>
      <c r="E28" s="16"/>
      <c r="F28" s="16"/>
      <c r="G28" s="16"/>
      <c r="H28" s="16"/>
      <c r="I28" s="16">
        <f>SUM('Model - Financial model'!C11:F11)</f>
        <v>-57659.5038567955</v>
      </c>
      <c r="J28" s="16"/>
      <c r="K28" s="16">
        <f>SUM('Model - Financial model'!C9:F10)/4</f>
        <v>14414.8759641988</v>
      </c>
      <c r="L28" s="16">
        <f>-I28+L27</f>
        <v>185827.503856796</v>
      </c>
    </row>
  </sheetData>
  <mergeCells count="1">
    <mergeCell ref="B2:L2"/>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B3:K2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8.1562" style="26" customWidth="1"/>
    <col min="2" max="2" width="7.53906" style="26" customWidth="1"/>
    <col min="3" max="11" width="9.98438" style="26" customWidth="1"/>
    <col min="12" max="16384" width="16.3516" style="26" customWidth="1"/>
  </cols>
  <sheetData>
    <row r="1" ht="35.7" customHeight="1"/>
    <row r="2" ht="27.65" customHeight="1">
      <c r="B2" t="s" s="7">
        <v>26</v>
      </c>
      <c r="C2" s="7"/>
      <c r="D2" s="7"/>
      <c r="E2" s="7"/>
      <c r="F2" s="7"/>
      <c r="G2" s="7"/>
      <c r="H2" s="7"/>
      <c r="I2" s="7"/>
      <c r="J2" s="7"/>
      <c r="K2" s="7"/>
    </row>
    <row r="3" ht="32.25" customHeight="1">
      <c r="B3" t="s" s="8">
        <v>7</v>
      </c>
      <c r="C3" t="s" s="8">
        <v>28</v>
      </c>
      <c r="D3" t="s" s="8">
        <v>29</v>
      </c>
      <c r="E3" t="s" s="8">
        <v>30</v>
      </c>
      <c r="F3" t="s" s="8">
        <v>31</v>
      </c>
      <c r="G3" t="s" s="8">
        <v>32</v>
      </c>
      <c r="H3" t="s" s="8">
        <v>33</v>
      </c>
      <c r="I3" t="s" s="8">
        <v>34</v>
      </c>
      <c r="J3" t="s" s="8">
        <v>35</v>
      </c>
      <c r="K3" t="s" s="8">
        <v>10</v>
      </c>
    </row>
    <row r="4" ht="20.25" customHeight="1">
      <c r="B4" s="9">
        <v>2015</v>
      </c>
      <c r="C4" s="10">
        <v>7414</v>
      </c>
      <c r="D4" s="11">
        <v>176683</v>
      </c>
      <c r="E4" s="11">
        <f>D4-C4</f>
        <v>169269</v>
      </c>
      <c r="F4" s="11">
        <f>'Cash Flow - Cash Flow quarterly'!D4</f>
        <v>1515</v>
      </c>
      <c r="G4" s="11">
        <v>86551</v>
      </c>
      <c r="H4" s="11">
        <v>90132</v>
      </c>
      <c r="I4" s="11">
        <f>G4+H4-C4-E4</f>
        <v>0</v>
      </c>
      <c r="J4" s="11">
        <f>C4-G4</f>
        <v>-79137</v>
      </c>
      <c r="K4" s="11"/>
    </row>
    <row r="5" ht="20.05" customHeight="1">
      <c r="B5" s="14"/>
      <c r="C5" s="15">
        <v>5595</v>
      </c>
      <c r="D5" s="16">
        <v>176223</v>
      </c>
      <c r="E5" s="16">
        <f>D5-C5</f>
        <v>170628</v>
      </c>
      <c r="F5" s="16">
        <f>F4+'Cash Flow - Cash Flow quarterly'!D5</f>
        <v>5957</v>
      </c>
      <c r="G5" s="16">
        <v>96140</v>
      </c>
      <c r="H5" s="16">
        <v>80083</v>
      </c>
      <c r="I5" s="16">
        <f>G5+H5-C5-E5</f>
        <v>0</v>
      </c>
      <c r="J5" s="16">
        <f>C5-G5</f>
        <v>-90545</v>
      </c>
      <c r="K5" s="16"/>
    </row>
    <row r="6" ht="20.05" customHeight="1">
      <c r="B6" s="14"/>
      <c r="C6" s="15">
        <v>5431</v>
      </c>
      <c r="D6" s="16">
        <v>172896</v>
      </c>
      <c r="E6" s="16">
        <f>D6-C6</f>
        <v>167465</v>
      </c>
      <c r="F6" s="16">
        <f>F5+'Cash Flow - Cash Flow quarterly'!D6</f>
        <v>7418</v>
      </c>
      <c r="G6" s="16">
        <v>95451</v>
      </c>
      <c r="H6" s="16">
        <v>77445</v>
      </c>
      <c r="I6" s="16">
        <f>G6+H6-C6-E6</f>
        <v>0</v>
      </c>
      <c r="J6" s="16">
        <f>C6-G6</f>
        <v>-90020</v>
      </c>
      <c r="K6" s="16"/>
    </row>
    <row r="7" ht="20.05" customHeight="1">
      <c r="B7" s="14"/>
      <c r="C7" s="15">
        <v>7185</v>
      </c>
      <c r="D7" s="16">
        <v>180098</v>
      </c>
      <c r="E7" s="16">
        <f>D7-C7</f>
        <v>172913</v>
      </c>
      <c r="F7" s="16">
        <f>F6+'Cash Flow - Cash Flow quarterly'!D7</f>
        <v>8962</v>
      </c>
      <c r="G7" s="16">
        <v>103318</v>
      </c>
      <c r="H7" s="16">
        <v>76780</v>
      </c>
      <c r="I7" s="16">
        <f>G7+H7-C7-E7</f>
        <v>0</v>
      </c>
      <c r="J7" s="16">
        <f>C7-G7</f>
        <v>-96133</v>
      </c>
      <c r="K7" s="16"/>
    </row>
    <row r="8" ht="20.05" customHeight="1">
      <c r="B8" s="18">
        <v>2016</v>
      </c>
      <c r="C8" s="15">
        <v>7170</v>
      </c>
      <c r="D8" s="16">
        <v>181869</v>
      </c>
      <c r="E8" s="16">
        <f>D8-C8</f>
        <v>174699</v>
      </c>
      <c r="F8" s="16">
        <f>F7+'Cash Flow - Cash Flow quarterly'!D8</f>
        <v>10669</v>
      </c>
      <c r="G8" s="16">
        <v>107063</v>
      </c>
      <c r="H8" s="16">
        <v>74806</v>
      </c>
      <c r="I8" s="16">
        <f>G8+H8-C8-E8</f>
        <v>0</v>
      </c>
      <c r="J8" s="16">
        <f>C8-G8</f>
        <v>-99893</v>
      </c>
      <c r="K8" s="16"/>
    </row>
    <row r="9" ht="20.05" customHeight="1">
      <c r="B9" s="14"/>
      <c r="C9" s="15">
        <v>6510</v>
      </c>
      <c r="D9" s="16">
        <v>193468</v>
      </c>
      <c r="E9" s="16">
        <f>D9-C9</f>
        <v>186958</v>
      </c>
      <c r="F9" s="16">
        <f>F8+'Cash Flow - Cash Flow quarterly'!D9</f>
        <v>12579</v>
      </c>
      <c r="G9" s="16">
        <v>121471</v>
      </c>
      <c r="H9" s="16">
        <v>71997</v>
      </c>
      <c r="I9" s="16">
        <f>G9+H9-C9-E9</f>
        <v>0</v>
      </c>
      <c r="J9" s="16">
        <f>C9-G9</f>
        <v>-114961</v>
      </c>
      <c r="K9" s="16"/>
    </row>
    <row r="10" ht="20.05" customHeight="1">
      <c r="B10" s="14"/>
      <c r="C10" s="15">
        <v>13928</v>
      </c>
      <c r="D10" s="16">
        <v>212524</v>
      </c>
      <c r="E10" s="16">
        <f>D10-C10</f>
        <v>198596</v>
      </c>
      <c r="F10" s="16">
        <f>F9+'Cash Flow - Cash Flow quarterly'!D10</f>
        <v>14395</v>
      </c>
      <c r="G10" s="16">
        <v>142152</v>
      </c>
      <c r="H10" s="16">
        <v>70372</v>
      </c>
      <c r="I10" s="16">
        <f>G10+H10-C10-E10</f>
        <v>0</v>
      </c>
      <c r="J10" s="16">
        <f>C10-G10</f>
        <v>-128224</v>
      </c>
      <c r="K10" s="16"/>
    </row>
    <row r="11" ht="20.05" customHeight="1">
      <c r="B11" s="14"/>
      <c r="C11" s="15">
        <v>8468</v>
      </c>
      <c r="D11" s="16">
        <v>224610</v>
      </c>
      <c r="E11" s="16">
        <f>D11-C11</f>
        <v>216142</v>
      </c>
      <c r="F11" s="16">
        <f>F10+'Cash Flow - Cash Flow quarterly'!D11</f>
        <v>16561</v>
      </c>
      <c r="G11" s="16">
        <v>155801</v>
      </c>
      <c r="H11" s="16">
        <v>68809</v>
      </c>
      <c r="I11" s="16">
        <f>G11+H11-C11-E11</f>
        <v>0</v>
      </c>
      <c r="J11" s="16">
        <f>C11-G11</f>
        <v>-147333</v>
      </c>
      <c r="K11" s="16"/>
    </row>
    <row r="12" ht="20.05" customHeight="1">
      <c r="B12" s="18">
        <v>2017</v>
      </c>
      <c r="C12" s="15">
        <v>6713</v>
      </c>
      <c r="D12" s="16">
        <v>225017</v>
      </c>
      <c r="E12" s="16">
        <f>D12-C12</f>
        <v>218304</v>
      </c>
      <c r="F12" s="16">
        <f>F11+'Cash Flow - Cash Flow quarterly'!D12</f>
        <v>19014</v>
      </c>
      <c r="G12" s="16">
        <v>155288</v>
      </c>
      <c r="H12" s="16">
        <v>69729</v>
      </c>
      <c r="I12" s="16">
        <f>G12+H12-C12-E12</f>
        <v>0</v>
      </c>
      <c r="J12" s="16">
        <f>C12-G12</f>
        <v>-148575</v>
      </c>
      <c r="K12" s="16"/>
    </row>
    <row r="13" ht="20.05" customHeight="1">
      <c r="B13" s="14"/>
      <c r="C13" s="15">
        <v>7663</v>
      </c>
      <c r="D13" s="16">
        <v>250312</v>
      </c>
      <c r="E13" s="16">
        <f>D13-C13</f>
        <v>242649</v>
      </c>
      <c r="F13" s="16">
        <f>F12+'Cash Flow - Cash Flow quarterly'!D13</f>
        <v>21357</v>
      </c>
      <c r="G13" s="16">
        <v>162601</v>
      </c>
      <c r="H13" s="16">
        <v>87711</v>
      </c>
      <c r="I13" s="16">
        <f>G13+H13-C13-E13</f>
        <v>0</v>
      </c>
      <c r="J13" s="16">
        <f>C13-G13</f>
        <v>-154938</v>
      </c>
      <c r="K13" s="16"/>
    </row>
    <row r="14" ht="20.05" customHeight="1">
      <c r="B14" s="14"/>
      <c r="C14" s="15">
        <v>6884</v>
      </c>
      <c r="D14" s="16">
        <v>249097</v>
      </c>
      <c r="E14" s="16">
        <f>D14-C14</f>
        <v>242213</v>
      </c>
      <c r="F14" s="16">
        <f>F13+'Cash Flow - Cash Flow quarterly'!D14</f>
        <v>23856</v>
      </c>
      <c r="G14" s="16">
        <v>159450</v>
      </c>
      <c r="H14" s="16">
        <v>89647</v>
      </c>
      <c r="I14" s="16">
        <f>G14+H14-C14-E14</f>
        <v>0</v>
      </c>
      <c r="J14" s="16">
        <f>C14-G14</f>
        <v>-152566</v>
      </c>
      <c r="K14" s="16"/>
    </row>
    <row r="15" ht="20.05" customHeight="1">
      <c r="B15" s="14"/>
      <c r="C15" s="15">
        <v>12859</v>
      </c>
      <c r="D15" s="16">
        <v>256003</v>
      </c>
      <c r="E15" s="16">
        <f>D15-C15</f>
        <v>243144</v>
      </c>
      <c r="F15" s="16">
        <f>F14+'Cash Flow - Cash Flow quarterly'!D15</f>
        <v>26392</v>
      </c>
      <c r="G15" s="16">
        <v>177643</v>
      </c>
      <c r="H15" s="16">
        <v>78360</v>
      </c>
      <c r="I15" s="16">
        <f>G15+H15-C15-E15</f>
        <v>0</v>
      </c>
      <c r="J15" s="16">
        <f>C15-G15</f>
        <v>-164784</v>
      </c>
      <c r="K15" s="16"/>
    </row>
    <row r="16" ht="20.05" customHeight="1">
      <c r="B16" s="18">
        <v>2018</v>
      </c>
      <c r="C16" s="15">
        <v>9221</v>
      </c>
      <c r="D16" s="16">
        <v>245497</v>
      </c>
      <c r="E16" s="16">
        <f>D16-C16</f>
        <v>236276</v>
      </c>
      <c r="F16" s="16">
        <f>F15+'Cash Flow - Cash Flow quarterly'!D16</f>
        <v>29102</v>
      </c>
      <c r="G16" s="16">
        <v>166258</v>
      </c>
      <c r="H16" s="16">
        <v>79239</v>
      </c>
      <c r="I16" s="16">
        <f>G16+H16-C16-E16</f>
        <v>0</v>
      </c>
      <c r="J16" s="16">
        <f>C16-G16</f>
        <v>-157037</v>
      </c>
      <c r="K16" s="16"/>
    </row>
    <row r="17" ht="20.05" customHeight="1">
      <c r="B17" s="14"/>
      <c r="C17" s="15">
        <v>11946</v>
      </c>
      <c r="D17" s="16">
        <v>258848</v>
      </c>
      <c r="E17" s="16">
        <f>D17-C17</f>
        <v>246902</v>
      </c>
      <c r="F17" s="16">
        <f>F16+'Cash Flow - Cash Flow quarterly'!D17</f>
        <v>31618</v>
      </c>
      <c r="G17" s="16">
        <v>176130</v>
      </c>
      <c r="H17" s="16">
        <v>82718</v>
      </c>
      <c r="I17" s="16">
        <f>G17+H17-C17-E17</f>
        <v>0</v>
      </c>
      <c r="J17" s="16">
        <f>C17-G17</f>
        <v>-164184</v>
      </c>
      <c r="K17" s="16"/>
    </row>
    <row r="18" ht="20.05" customHeight="1">
      <c r="B18" s="14"/>
      <c r="C18" s="15">
        <v>15137</v>
      </c>
      <c r="D18" s="16">
        <v>257619</v>
      </c>
      <c r="E18" s="16">
        <f>D18-C18</f>
        <v>242482</v>
      </c>
      <c r="F18" s="16">
        <f>F17+'Cash Flow - Cash Flow quarterly'!D18</f>
        <v>34455</v>
      </c>
      <c r="G18" s="16">
        <v>171652</v>
      </c>
      <c r="H18" s="16">
        <v>85967</v>
      </c>
      <c r="I18" s="16">
        <f>G18+H18-C18-E18</f>
        <v>0</v>
      </c>
      <c r="J18" s="16">
        <f>C18-G18</f>
        <v>-156515</v>
      </c>
      <c r="K18" s="16"/>
    </row>
    <row r="19" ht="20.05" customHeight="1">
      <c r="B19" s="14"/>
      <c r="C19" s="15">
        <v>6638</v>
      </c>
      <c r="D19" s="16">
        <v>258859</v>
      </c>
      <c r="E19" s="16">
        <f>D19-C19</f>
        <v>252221</v>
      </c>
      <c r="F19" s="16">
        <f>F18+'Cash Flow - Cash Flow quarterly'!D19</f>
        <v>37450</v>
      </c>
      <c r="G19" s="16">
        <v>166731</v>
      </c>
      <c r="H19" s="16">
        <v>92128</v>
      </c>
      <c r="I19" s="16">
        <f>G19+H19-C19-E19</f>
        <v>0</v>
      </c>
      <c r="J19" s="16">
        <f>C19-G19</f>
        <v>-160093</v>
      </c>
      <c r="K19" s="16"/>
    </row>
    <row r="20" ht="20.05" customHeight="1">
      <c r="B20" s="18">
        <v>2019</v>
      </c>
      <c r="C20" s="15">
        <v>11212</v>
      </c>
      <c r="D20" s="16">
        <v>263281</v>
      </c>
      <c r="E20" s="16">
        <f>D20-C20</f>
        <v>252069</v>
      </c>
      <c r="F20" s="16">
        <f>F19+'Cash Flow - Cash Flow quarterly'!D20</f>
        <v>40376</v>
      </c>
      <c r="G20" s="16">
        <v>168417</v>
      </c>
      <c r="H20" s="16">
        <v>94864</v>
      </c>
      <c r="I20" s="16">
        <f>G20+H20-C20-E20</f>
        <v>0</v>
      </c>
      <c r="J20" s="16">
        <f>C20-G20</f>
        <v>-157205</v>
      </c>
      <c r="K20" s="16"/>
    </row>
    <row r="21" ht="20.05" customHeight="1">
      <c r="B21" s="14"/>
      <c r="C21" s="15">
        <v>11356</v>
      </c>
      <c r="D21" s="16">
        <v>286556</v>
      </c>
      <c r="E21" s="16">
        <f>D21-C21</f>
        <v>275200</v>
      </c>
      <c r="F21" s="16">
        <f>F20+'Cash Flow - Cash Flow quarterly'!D21</f>
        <v>43300</v>
      </c>
      <c r="G21" s="16">
        <v>184226</v>
      </c>
      <c r="H21" s="16">
        <v>102330</v>
      </c>
      <c r="I21" s="16">
        <f>G21+H21-C21-E21</f>
        <v>0</v>
      </c>
      <c r="J21" s="16">
        <f>C21-G21</f>
        <v>-172870</v>
      </c>
      <c r="K21" s="16"/>
    </row>
    <row r="22" ht="20.05" customHeight="1">
      <c r="B22" s="14"/>
      <c r="C22" s="15">
        <v>13117</v>
      </c>
      <c r="D22" s="16">
        <v>278955</v>
      </c>
      <c r="E22" s="16">
        <f>D22-C22</f>
        <v>265838</v>
      </c>
      <c r="F22" s="16">
        <f>F21+'Cash Flow - Cash Flow quarterly'!D22</f>
        <v>46271</v>
      </c>
      <c r="G22" s="16">
        <v>172894</v>
      </c>
      <c r="H22" s="16">
        <v>106061</v>
      </c>
      <c r="I22" s="16">
        <f>G22+H22-C22-E22</f>
        <v>0</v>
      </c>
      <c r="J22" s="16">
        <f>C22-G22</f>
        <v>-159777</v>
      </c>
      <c r="K22" s="19"/>
    </row>
    <row r="23" ht="20.05" customHeight="1">
      <c r="B23" s="14"/>
      <c r="C23" s="15">
        <v>8864</v>
      </c>
      <c r="D23" s="16">
        <v>282794</v>
      </c>
      <c r="E23" s="16">
        <f>D23-C23</f>
        <v>273930</v>
      </c>
      <c r="F23" s="16">
        <f>F22+'Cash Flow - Cash Flow quarterly'!D23</f>
        <v>49474</v>
      </c>
      <c r="G23" s="16">
        <v>172685</v>
      </c>
      <c r="H23" s="16">
        <v>110109</v>
      </c>
      <c r="I23" s="16">
        <f>G23+H23-C23-E23</f>
        <v>0</v>
      </c>
      <c r="J23" s="16">
        <f>C23-G23</f>
        <v>-163821</v>
      </c>
      <c r="K23" s="19"/>
    </row>
    <row r="24" ht="20.05" customHeight="1">
      <c r="B24" s="18">
        <v>2020</v>
      </c>
      <c r="C24" s="15">
        <v>11710</v>
      </c>
      <c r="D24" s="16">
        <v>285449</v>
      </c>
      <c r="E24" s="16">
        <f>D24-C24</f>
        <v>273739</v>
      </c>
      <c r="F24" s="16">
        <f>F23+'Cash Flow - Cash Flow quarterly'!D24</f>
        <v>52592</v>
      </c>
      <c r="G24" s="16">
        <v>170948</v>
      </c>
      <c r="H24" s="16">
        <v>114501</v>
      </c>
      <c r="I24" s="16">
        <f>G24+H24-C24-E24</f>
        <v>0</v>
      </c>
      <c r="J24" s="16">
        <f>C24-G24</f>
        <v>-159238</v>
      </c>
      <c r="K24" s="19"/>
    </row>
    <row r="25" ht="20.05" customHeight="1">
      <c r="B25" s="14"/>
      <c r="C25" s="15">
        <v>13576</v>
      </c>
      <c r="D25" s="16">
        <v>301311</v>
      </c>
      <c r="E25" s="16">
        <f>D25-C25</f>
        <v>287735</v>
      </c>
      <c r="F25" s="16">
        <f>F24+'Cash Flow - Cash Flow quarterly'!D25</f>
        <v>56096</v>
      </c>
      <c r="G25" s="16">
        <v>183007</v>
      </c>
      <c r="H25" s="16">
        <v>118304</v>
      </c>
      <c r="I25" s="16">
        <f>G25+H25-C25-E25</f>
        <v>0</v>
      </c>
      <c r="J25" s="16">
        <f>C25-G25</f>
        <v>-169431</v>
      </c>
      <c r="K25" s="19"/>
    </row>
    <row r="26" ht="20.05" customHeight="1">
      <c r="B26" s="14"/>
      <c r="C26" s="15">
        <v>17205</v>
      </c>
      <c r="D26" s="16">
        <v>301001</v>
      </c>
      <c r="E26" s="16">
        <f>D26-C26</f>
        <v>283796</v>
      </c>
      <c r="F26" s="16">
        <f>F25+'Cash Flow - Cash Flow quarterly'!D26</f>
        <v>58741</v>
      </c>
      <c r="G26" s="16">
        <v>177609</v>
      </c>
      <c r="H26" s="16">
        <v>123392</v>
      </c>
      <c r="I26" s="16">
        <f>G26+H26-C26-E26</f>
        <v>0</v>
      </c>
      <c r="J26" s="16">
        <f>C26-G26</f>
        <v>-160404</v>
      </c>
      <c r="K26" s="19"/>
    </row>
    <row r="27" ht="20.05" customHeight="1">
      <c r="B27" s="25"/>
      <c r="C27" s="15">
        <v>14432</v>
      </c>
      <c r="D27" s="16">
        <v>304137</v>
      </c>
      <c r="E27" s="16">
        <f>D27-C27</f>
        <v>289705</v>
      </c>
      <c r="F27" s="16">
        <f>F26+'Cash Flow - Cash Flow quarterly'!D27</f>
        <v>61502</v>
      </c>
      <c r="G27" s="16">
        <v>173901</v>
      </c>
      <c r="H27" s="16">
        <v>130236</v>
      </c>
      <c r="I27" s="16">
        <f>G27+H27-C27-E27</f>
        <v>0</v>
      </c>
      <c r="J27" s="16">
        <f>C27-G27</f>
        <v>-159469</v>
      </c>
      <c r="K27" s="16">
        <f>J27</f>
        <v>-159469</v>
      </c>
    </row>
    <row r="28" ht="20.05" customHeight="1">
      <c r="B28" s="25">
        <v>2021</v>
      </c>
      <c r="C28" s="15"/>
      <c r="D28" s="16"/>
      <c r="E28" s="16"/>
      <c r="F28" s="16"/>
      <c r="G28" s="16"/>
      <c r="H28" s="16"/>
      <c r="I28" s="16">
        <f>G28+H28-C28-E28</f>
        <v>0</v>
      </c>
      <c r="J28" s="16"/>
      <c r="K28" s="16">
        <f>'Model - Financial model'!F26-'Model - Financial model'!F30-'Model - Financial model'!F31</f>
        <v>-148902.165895308</v>
      </c>
    </row>
  </sheetData>
  <mergeCells count="1">
    <mergeCell ref="B2:K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B3:E89"/>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22.6719" style="27" customWidth="1"/>
    <col min="2" max="5" width="11.0547" style="27" customWidth="1"/>
    <col min="6" max="16384" width="16.3516" style="27" customWidth="1"/>
  </cols>
  <sheetData>
    <row r="1" ht="40" customHeight="1"/>
    <row r="2" ht="27.65" customHeight="1">
      <c r="B2" t="s" s="7">
        <v>37</v>
      </c>
      <c r="C2" s="7"/>
      <c r="D2" s="7"/>
      <c r="E2" s="7"/>
    </row>
    <row r="3" ht="32.35" customHeight="1">
      <c r="B3" s="28"/>
      <c r="C3" t="s" s="29">
        <v>39</v>
      </c>
      <c r="D3" t="s" s="30">
        <v>37</v>
      </c>
      <c r="E3" t="s" s="29">
        <v>40</v>
      </c>
    </row>
    <row r="4" ht="20.7" customHeight="1">
      <c r="B4" s="9">
        <v>2014</v>
      </c>
      <c r="C4" s="31">
        <v>932.09</v>
      </c>
      <c r="D4" s="32">
        <v>37.84</v>
      </c>
      <c r="E4" s="33"/>
    </row>
    <row r="5" ht="20.7" customHeight="1">
      <c r="B5" s="14"/>
      <c r="C5" s="34">
        <v>718.23</v>
      </c>
      <c r="D5" s="35">
        <v>38.31</v>
      </c>
      <c r="E5" s="36"/>
    </row>
    <row r="6" ht="20.7" customHeight="1">
      <c r="B6" s="14"/>
      <c r="C6" s="34">
        <v>778.55</v>
      </c>
      <c r="D6" s="35">
        <v>40.99</v>
      </c>
      <c r="E6" s="36"/>
    </row>
    <row r="7" ht="20.7" customHeight="1">
      <c r="B7" s="14"/>
      <c r="C7" s="34">
        <v>746.15</v>
      </c>
      <c r="D7" s="35">
        <v>40.4</v>
      </c>
      <c r="E7" s="36"/>
    </row>
    <row r="8" ht="20.7" customHeight="1">
      <c r="B8" s="14"/>
      <c r="C8" s="34">
        <v>574.4</v>
      </c>
      <c r="D8" s="35">
        <v>40.94</v>
      </c>
      <c r="E8" s="36"/>
    </row>
    <row r="9" ht="20.7" customHeight="1">
      <c r="B9" s="14"/>
      <c r="C9" s="34">
        <v>555.8099999999999</v>
      </c>
      <c r="D9" s="35">
        <v>41.7</v>
      </c>
      <c r="E9" s="36"/>
    </row>
    <row r="10" ht="20.7" customHeight="1">
      <c r="B10" s="14"/>
      <c r="C10" s="34">
        <v>731.66</v>
      </c>
      <c r="D10" s="35">
        <v>43.16</v>
      </c>
      <c r="E10" s="36"/>
    </row>
    <row r="11" ht="20.7" customHeight="1">
      <c r="B11" s="14"/>
      <c r="C11" s="34">
        <v>513.9299999999999</v>
      </c>
      <c r="D11" s="35">
        <v>45.43</v>
      </c>
      <c r="E11" s="36"/>
    </row>
    <row r="12" ht="20.7" customHeight="1">
      <c r="B12" s="14"/>
      <c r="C12" s="34">
        <v>860.84</v>
      </c>
      <c r="D12" s="35">
        <v>46.36</v>
      </c>
      <c r="E12" s="36"/>
    </row>
    <row r="13" ht="20.7" customHeight="1">
      <c r="B13" s="14"/>
      <c r="C13" s="34">
        <v>853.3</v>
      </c>
      <c r="D13" s="35">
        <v>46.95</v>
      </c>
      <c r="E13" s="36"/>
    </row>
    <row r="14" ht="20.7" customHeight="1">
      <c r="B14" s="14"/>
      <c r="C14" s="34">
        <v>523.01</v>
      </c>
      <c r="D14" s="35">
        <v>47.81</v>
      </c>
      <c r="E14" s="36"/>
    </row>
    <row r="15" ht="20.7" customHeight="1">
      <c r="B15" s="14"/>
      <c r="C15" s="34">
        <v>626.8099999999999</v>
      </c>
      <c r="D15" s="35">
        <v>46.45</v>
      </c>
      <c r="E15" s="36"/>
    </row>
    <row r="16" ht="20.7" customHeight="1">
      <c r="B16" s="18">
        <v>2015</v>
      </c>
      <c r="C16" s="34">
        <v>918.97</v>
      </c>
      <c r="D16" s="35">
        <v>40.4</v>
      </c>
      <c r="E16" s="36"/>
    </row>
    <row r="17" ht="20.7" customHeight="1">
      <c r="B17" s="14"/>
      <c r="C17" s="34">
        <v>656.51</v>
      </c>
      <c r="D17" s="35">
        <v>43.85</v>
      </c>
      <c r="E17" s="36"/>
    </row>
    <row r="18" ht="20.7" customHeight="1">
      <c r="B18" s="14"/>
      <c r="C18" s="34">
        <v>824.34</v>
      </c>
      <c r="D18" s="35">
        <v>40.66</v>
      </c>
      <c r="E18" s="36"/>
    </row>
    <row r="19" ht="20.7" customHeight="1">
      <c r="B19" s="14"/>
      <c r="C19" s="34">
        <v>874.54</v>
      </c>
      <c r="D19" s="35">
        <v>48.64</v>
      </c>
      <c r="E19" s="36"/>
    </row>
    <row r="20" ht="20.7" customHeight="1">
      <c r="B20" s="14"/>
      <c r="C20" s="34">
        <v>633.0700000000001</v>
      </c>
      <c r="D20" s="35">
        <v>46.86</v>
      </c>
      <c r="E20" s="36"/>
    </row>
    <row r="21" ht="20.7" customHeight="1">
      <c r="B21" s="14"/>
      <c r="C21" s="34">
        <v>664.85</v>
      </c>
      <c r="D21" s="35">
        <v>44.15</v>
      </c>
      <c r="E21" s="36"/>
    </row>
    <row r="22" ht="20.7" customHeight="1">
      <c r="B22" s="14"/>
      <c r="C22" s="34">
        <v>725.46</v>
      </c>
      <c r="D22" s="35">
        <v>46.7</v>
      </c>
      <c r="E22" s="36"/>
    </row>
    <row r="23" ht="20.7" customHeight="1">
      <c r="B23" s="14"/>
      <c r="C23" s="34">
        <v>776.5</v>
      </c>
      <c r="D23" s="35">
        <v>43.52</v>
      </c>
      <c r="E23" s="36"/>
    </row>
    <row r="24" ht="20.7" customHeight="1">
      <c r="B24" s="14"/>
      <c r="C24" s="34">
        <v>673.08</v>
      </c>
      <c r="D24" s="35">
        <v>44.26</v>
      </c>
      <c r="E24" s="36"/>
    </row>
    <row r="25" ht="20.7" customHeight="1">
      <c r="B25" s="14"/>
      <c r="C25" s="34">
        <v>857.33</v>
      </c>
      <c r="D25" s="35">
        <v>52.64</v>
      </c>
      <c r="E25" s="36"/>
    </row>
    <row r="26" ht="20.7" customHeight="1">
      <c r="B26" s="14"/>
      <c r="C26" s="34">
        <v>662.63</v>
      </c>
      <c r="D26" s="35">
        <v>54.35</v>
      </c>
      <c r="E26" s="36"/>
    </row>
    <row r="27" ht="20.7" customHeight="1">
      <c r="B27" s="14"/>
      <c r="C27" s="34">
        <v>793.0700000000001</v>
      </c>
      <c r="D27" s="35">
        <v>55.48</v>
      </c>
      <c r="E27" s="36"/>
    </row>
    <row r="28" ht="20.7" customHeight="1">
      <c r="B28" s="18">
        <v>2016</v>
      </c>
      <c r="C28" s="34">
        <v>927.91</v>
      </c>
      <c r="D28" s="35">
        <v>55.09</v>
      </c>
      <c r="E28" s="36"/>
    </row>
    <row r="29" ht="20.7" customHeight="1">
      <c r="B29" s="14"/>
      <c r="C29" s="34">
        <v>814.77</v>
      </c>
      <c r="D29" s="35">
        <v>50.88</v>
      </c>
      <c r="E29" s="36"/>
    </row>
    <row r="30" ht="20.7" customHeight="1">
      <c r="B30" s="14"/>
      <c r="C30" s="34">
        <v>641.13</v>
      </c>
      <c r="D30" s="35">
        <v>55.23</v>
      </c>
      <c r="E30" s="36"/>
    </row>
    <row r="31" ht="20.7" customHeight="1">
      <c r="B31" s="14"/>
      <c r="C31" s="34">
        <v>699.03</v>
      </c>
      <c r="D31" s="35">
        <v>49.87</v>
      </c>
      <c r="E31" s="36"/>
    </row>
    <row r="32" ht="20.7" customHeight="1">
      <c r="B32" s="14"/>
      <c r="C32" s="34">
        <v>530.87</v>
      </c>
      <c r="D32" s="35">
        <v>53</v>
      </c>
      <c r="E32" s="36"/>
    </row>
    <row r="33" ht="20.7" customHeight="1">
      <c r="B33" s="14"/>
      <c r="C33" s="34">
        <v>823.99</v>
      </c>
      <c r="D33" s="35">
        <v>51.17</v>
      </c>
      <c r="E33" s="36"/>
    </row>
    <row r="34" ht="20.7" customHeight="1">
      <c r="B34" s="14"/>
      <c r="C34" s="34">
        <v>647.59</v>
      </c>
      <c r="D34" s="35">
        <v>56.68</v>
      </c>
      <c r="E34" s="36"/>
    </row>
    <row r="35" ht="20.7" customHeight="1">
      <c r="B35" s="14"/>
      <c r="C35" s="34">
        <v>467.08</v>
      </c>
      <c r="D35" s="35">
        <v>57.46</v>
      </c>
      <c r="E35" s="36"/>
    </row>
    <row r="36" ht="20.7" customHeight="1">
      <c r="B36" s="14"/>
      <c r="C36" s="34">
        <v>526.86</v>
      </c>
      <c r="D36" s="35">
        <v>57.6</v>
      </c>
      <c r="E36" s="36"/>
    </row>
    <row r="37" ht="20.7" customHeight="1">
      <c r="B37" s="14"/>
      <c r="C37" s="34">
        <v>614.84</v>
      </c>
      <c r="D37" s="35">
        <v>59.92</v>
      </c>
      <c r="E37" s="36"/>
    </row>
    <row r="38" ht="20.7" customHeight="1">
      <c r="B38" s="14"/>
      <c r="C38" s="34">
        <v>613.0599999999999</v>
      </c>
      <c r="D38" s="35">
        <v>60.26</v>
      </c>
      <c r="E38" s="36"/>
    </row>
    <row r="39" ht="20.7" customHeight="1">
      <c r="B39" s="14"/>
      <c r="C39" s="34">
        <v>513.58</v>
      </c>
      <c r="D39" s="35">
        <v>62.14</v>
      </c>
      <c r="E39" s="36"/>
    </row>
    <row r="40" ht="20.7" customHeight="1">
      <c r="B40" s="18">
        <v>2017</v>
      </c>
      <c r="C40" s="34">
        <v>494.44</v>
      </c>
      <c r="D40" s="35">
        <v>64.65000000000001</v>
      </c>
      <c r="E40" s="36"/>
    </row>
    <row r="41" ht="20.7" customHeight="1">
      <c r="B41" s="14"/>
      <c r="C41" s="34">
        <v>440.74</v>
      </c>
      <c r="D41" s="35">
        <v>63.98</v>
      </c>
      <c r="E41" s="36"/>
    </row>
    <row r="42" ht="20.7" customHeight="1">
      <c r="B42" s="14"/>
      <c r="C42" s="34">
        <v>489.17</v>
      </c>
      <c r="D42" s="35">
        <v>65.86</v>
      </c>
      <c r="E42" s="36"/>
    </row>
    <row r="43" ht="20.7" customHeight="1">
      <c r="B43" s="14"/>
      <c r="C43" s="34">
        <v>433.19</v>
      </c>
      <c r="D43" s="35">
        <v>68.45999999999999</v>
      </c>
      <c r="E43" s="36"/>
    </row>
    <row r="44" ht="20.7" customHeight="1">
      <c r="B44" s="14"/>
      <c r="C44" s="34">
        <v>517.29</v>
      </c>
      <c r="D44" s="35">
        <v>69.84</v>
      </c>
      <c r="E44" s="36"/>
    </row>
    <row r="45" ht="20.7" customHeight="1">
      <c r="B45" s="14"/>
      <c r="C45" s="34">
        <v>629.72</v>
      </c>
      <c r="D45" s="35">
        <v>68.93000000000001</v>
      </c>
      <c r="E45" s="36"/>
    </row>
    <row r="46" ht="20.7" customHeight="1">
      <c r="B46" s="14"/>
      <c r="C46" s="34">
        <v>469.85</v>
      </c>
      <c r="D46" s="35">
        <v>72.7</v>
      </c>
      <c r="E46" s="36"/>
    </row>
    <row r="47" ht="20.7" customHeight="1">
      <c r="B47" s="14"/>
      <c r="C47" s="34">
        <v>442.76</v>
      </c>
      <c r="D47" s="35">
        <v>74.77</v>
      </c>
      <c r="E47" s="36"/>
    </row>
    <row r="48" ht="20.7" customHeight="1">
      <c r="B48" s="14"/>
      <c r="C48" s="34">
        <v>376.67</v>
      </c>
      <c r="D48" s="35">
        <v>74.48999999999999</v>
      </c>
      <c r="E48" s="36"/>
    </row>
    <row r="49" ht="20.7" customHeight="1">
      <c r="B49" s="14"/>
      <c r="C49" s="34">
        <v>449.95</v>
      </c>
      <c r="D49" s="35">
        <v>83.18000000000001</v>
      </c>
      <c r="E49" s="36"/>
    </row>
    <row r="50" ht="20.7" customHeight="1">
      <c r="B50" s="14"/>
      <c r="C50" s="34">
        <v>421.93</v>
      </c>
      <c r="D50" s="35">
        <v>84.17</v>
      </c>
      <c r="E50" s="36"/>
    </row>
    <row r="51" ht="20.7" customHeight="1">
      <c r="B51" s="14"/>
      <c r="C51" s="34">
        <v>466.2</v>
      </c>
      <c r="D51" s="35">
        <v>85.54000000000001</v>
      </c>
      <c r="E51" s="36"/>
    </row>
    <row r="52" ht="20.7" customHeight="1">
      <c r="B52" s="18">
        <v>2018</v>
      </c>
      <c r="C52" s="34">
        <v>574.26</v>
      </c>
      <c r="D52" s="35">
        <v>95.01000000000001</v>
      </c>
      <c r="E52" s="36"/>
    </row>
    <row r="53" ht="20.7" customHeight="1">
      <c r="B53" s="14"/>
      <c r="C53" s="34">
        <v>725.66</v>
      </c>
      <c r="D53" s="35">
        <v>93.77</v>
      </c>
      <c r="E53" s="36"/>
    </row>
    <row r="54" ht="20.7" customHeight="1">
      <c r="B54" s="14"/>
      <c r="C54" s="34">
        <v>750.75</v>
      </c>
      <c r="D54" s="35">
        <v>91.27</v>
      </c>
      <c r="E54" s="36"/>
    </row>
    <row r="55" ht="20.7" customHeight="1">
      <c r="B55" s="14"/>
      <c r="C55" s="34">
        <v>668.26</v>
      </c>
      <c r="D55" s="35">
        <v>93.52</v>
      </c>
      <c r="E55" s="36"/>
    </row>
    <row r="56" ht="20.7" customHeight="1">
      <c r="B56" s="14"/>
      <c r="C56" s="34">
        <v>509.42</v>
      </c>
      <c r="D56" s="35">
        <v>98.84</v>
      </c>
      <c r="E56" s="36"/>
    </row>
    <row r="57" ht="20.7" customHeight="1">
      <c r="B57" s="14"/>
      <c r="C57" s="34">
        <v>602.59</v>
      </c>
      <c r="D57" s="35">
        <v>98.61</v>
      </c>
      <c r="E57" s="36"/>
    </row>
    <row r="58" ht="20.7" customHeight="1">
      <c r="B58" s="14"/>
      <c r="C58" s="34">
        <v>569.5</v>
      </c>
      <c r="D58" s="35">
        <v>106.08</v>
      </c>
      <c r="E58" s="36"/>
    </row>
    <row r="59" ht="20.7" customHeight="1">
      <c r="B59" s="14"/>
      <c r="C59" s="34">
        <v>456.63</v>
      </c>
      <c r="D59" s="35">
        <v>112.33</v>
      </c>
      <c r="E59" s="36"/>
    </row>
    <row r="60" ht="20.7" customHeight="1">
      <c r="B60" s="14"/>
      <c r="C60" s="34">
        <v>480.26</v>
      </c>
      <c r="D60" s="35">
        <v>114.37</v>
      </c>
      <c r="E60" s="36"/>
    </row>
    <row r="61" ht="20.7" customHeight="1">
      <c r="B61" s="14"/>
      <c r="C61" s="34">
        <v>927.55</v>
      </c>
      <c r="D61" s="35">
        <v>106.81</v>
      </c>
      <c r="E61" s="36"/>
    </row>
    <row r="62" ht="20.7" customHeight="1">
      <c r="B62" s="14"/>
      <c r="C62" s="34">
        <v>720.23</v>
      </c>
      <c r="D62" s="35">
        <v>110.89</v>
      </c>
      <c r="E62" s="36"/>
    </row>
    <row r="63" ht="20.7" customHeight="1">
      <c r="B63" s="14"/>
      <c r="C63" s="34">
        <v>944.29</v>
      </c>
      <c r="D63" s="35">
        <v>101.57</v>
      </c>
      <c r="E63" s="36"/>
    </row>
    <row r="64" ht="20.7" customHeight="1">
      <c r="B64" s="18">
        <v>2019</v>
      </c>
      <c r="C64" s="34">
        <v>714.2</v>
      </c>
      <c r="D64" s="35">
        <v>104.43</v>
      </c>
      <c r="E64" s="36"/>
    </row>
    <row r="65" ht="20.7" customHeight="1">
      <c r="B65" s="14"/>
      <c r="C65" s="34">
        <v>469.1</v>
      </c>
      <c r="D65" s="35">
        <v>112.03</v>
      </c>
      <c r="E65" s="36"/>
    </row>
    <row r="66" ht="20.7" customHeight="1">
      <c r="B66" s="14"/>
      <c r="C66" s="34">
        <v>589.05</v>
      </c>
      <c r="D66" s="35">
        <v>117.94</v>
      </c>
      <c r="E66" s="36"/>
    </row>
    <row r="67" ht="20.7" customHeight="1">
      <c r="B67" s="14"/>
      <c r="C67" s="34">
        <v>433.16</v>
      </c>
      <c r="D67" s="35">
        <v>130.6</v>
      </c>
      <c r="E67" s="36"/>
    </row>
    <row r="68" ht="20.7" customHeight="1">
      <c r="B68" s="14"/>
      <c r="C68" s="34">
        <v>547.22</v>
      </c>
      <c r="D68" s="35">
        <v>123.68</v>
      </c>
      <c r="E68" s="36"/>
    </row>
    <row r="69" ht="20.7" customHeight="1">
      <c r="B69" s="14"/>
      <c r="C69" s="34">
        <v>508.32</v>
      </c>
      <c r="D69" s="35">
        <v>133.96</v>
      </c>
      <c r="E69" s="36"/>
    </row>
    <row r="70" ht="20.7" customHeight="1">
      <c r="B70" s="14"/>
      <c r="C70" s="34">
        <v>484.55</v>
      </c>
      <c r="D70" s="37">
        <v>136.27</v>
      </c>
      <c r="E70" s="38"/>
    </row>
    <row r="71" ht="20.7" customHeight="1">
      <c r="B71" s="14"/>
      <c r="C71" s="34">
        <v>585.58</v>
      </c>
      <c r="D71" s="35">
        <v>137.86</v>
      </c>
      <c r="E71" s="36"/>
    </row>
    <row r="72" ht="20.7" customHeight="1">
      <c r="B72" s="14"/>
      <c r="C72" s="34">
        <v>477.65</v>
      </c>
      <c r="D72" s="35">
        <v>139.03</v>
      </c>
      <c r="E72" s="36"/>
    </row>
    <row r="73" ht="20.7" customHeight="1">
      <c r="B73" s="14"/>
      <c r="C73" s="34">
        <v>563.29</v>
      </c>
      <c r="D73" s="35">
        <v>143.37</v>
      </c>
      <c r="E73" s="36"/>
    </row>
    <row r="74" ht="20.7" customHeight="1">
      <c r="B74" s="14"/>
      <c r="C74" s="34">
        <v>393.03</v>
      </c>
      <c r="D74" s="35">
        <v>151.38</v>
      </c>
      <c r="E74" s="36"/>
    </row>
    <row r="75" ht="20.7" customHeight="1">
      <c r="B75" s="14"/>
      <c r="C75" s="34">
        <v>452.66</v>
      </c>
      <c r="D75" s="35">
        <v>157.7</v>
      </c>
      <c r="E75" s="36"/>
    </row>
    <row r="76" ht="20.7" customHeight="1">
      <c r="B76" s="18">
        <v>2020</v>
      </c>
      <c r="C76" s="34">
        <v>559.25</v>
      </c>
      <c r="D76" s="35">
        <v>170.23</v>
      </c>
      <c r="E76" s="36"/>
    </row>
    <row r="77" ht="20.7" customHeight="1">
      <c r="B77" s="14"/>
      <c r="C77" s="34">
        <v>887.89</v>
      </c>
      <c r="D77" s="35">
        <v>162.01</v>
      </c>
      <c r="E77" s="39"/>
    </row>
    <row r="78" ht="20.7" customHeight="1">
      <c r="B78" s="14"/>
      <c r="C78" s="40">
        <v>77.93000000000001</v>
      </c>
      <c r="D78" s="37">
        <v>157.71</v>
      </c>
      <c r="E78" s="19"/>
    </row>
    <row r="79" ht="20.7" customHeight="1">
      <c r="B79" s="14"/>
      <c r="C79" s="40">
        <v>53.88</v>
      </c>
      <c r="D79" s="37">
        <v>179.21</v>
      </c>
      <c r="E79" s="19"/>
    </row>
    <row r="80" ht="20.35" customHeight="1">
      <c r="B80" s="14"/>
      <c r="C80" s="41">
        <v>42.15</v>
      </c>
      <c r="D80" s="42">
        <v>183.25</v>
      </c>
      <c r="E80" s="19"/>
    </row>
    <row r="81" ht="20.05" customHeight="1">
      <c r="B81" s="14"/>
      <c r="C81" s="20">
        <v>711.4886</v>
      </c>
      <c r="D81" s="21">
        <v>203.019226</v>
      </c>
      <c r="E81" s="19"/>
    </row>
    <row r="82" ht="20.05" customHeight="1">
      <c r="B82" s="14"/>
      <c r="C82" s="20">
        <v>709.1332</v>
      </c>
      <c r="D82" s="21">
        <v>204.51561</v>
      </c>
      <c r="E82" s="19"/>
    </row>
    <row r="83" ht="20.05" customHeight="1">
      <c r="B83" s="14"/>
      <c r="C83" s="20">
        <v>613.4906</v>
      </c>
      <c r="D83" s="21">
        <v>225.529999</v>
      </c>
      <c r="E83" s="19"/>
    </row>
    <row r="84" ht="20.05" customHeight="1">
      <c r="B84" s="14"/>
      <c r="C84" s="43">
        <v>742.4023999999999</v>
      </c>
      <c r="D84" s="44">
        <v>209.780777</v>
      </c>
      <c r="E84" s="19"/>
    </row>
    <row r="85" ht="20.05" customHeight="1">
      <c r="B85" s="14"/>
      <c r="C85" s="43">
        <v>571.3348</v>
      </c>
      <c r="D85" s="44">
        <v>201.941315</v>
      </c>
      <c r="E85" s="19"/>
    </row>
    <row r="86" ht="20.05" customHeight="1">
      <c r="B86" s="14"/>
      <c r="C86" s="43">
        <v>573.429</v>
      </c>
      <c r="D86" s="44">
        <v>214.070007</v>
      </c>
      <c r="E86" s="19"/>
    </row>
    <row r="87" ht="20.05" customHeight="1">
      <c r="B87" s="14"/>
      <c r="C87" s="43">
        <v>540.135</v>
      </c>
      <c r="D87" s="44">
        <v>222.419998</v>
      </c>
      <c r="E87" s="19"/>
    </row>
    <row r="88" ht="20.05" customHeight="1">
      <c r="B88" s="18">
        <v>2021</v>
      </c>
      <c r="C88" s="43">
        <v>562.7129</v>
      </c>
      <c r="D88" s="44">
        <v>232.330002</v>
      </c>
      <c r="E88" s="45">
        <f>D88</f>
        <v>232.330002</v>
      </c>
    </row>
    <row r="89" ht="20.05" customHeight="1">
      <c r="B89" s="14"/>
      <c r="C89" s="43"/>
      <c r="D89" s="44"/>
      <c r="E89" s="45">
        <f>'Valuation - Valuation'!E10</f>
        <v>286.214850516423</v>
      </c>
    </row>
  </sheetData>
  <mergeCells count="1">
    <mergeCell ref="B2:E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B3:F33"/>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53906" style="46" customWidth="1"/>
    <col min="2" max="2" width="19.4297" style="46" customWidth="1"/>
    <col min="3" max="6" width="9.07812" style="46" customWidth="1"/>
    <col min="7" max="16384" width="16.3516" style="46" customWidth="1"/>
  </cols>
  <sheetData>
    <row r="1" ht="23.8" customHeight="1"/>
    <row r="2" ht="27.65" customHeight="1">
      <c r="B2" t="s" s="7">
        <v>42</v>
      </c>
      <c r="C2" s="7"/>
      <c r="D2" s="7"/>
      <c r="E2" s="7"/>
      <c r="F2" s="7"/>
    </row>
    <row r="3" ht="20.25" customHeight="1">
      <c r="B3" t="s" s="47">
        <v>7</v>
      </c>
      <c r="C3" t="s" s="8">
        <v>44</v>
      </c>
      <c r="D3" t="s" s="8">
        <v>45</v>
      </c>
      <c r="E3" t="s" s="8">
        <v>46</v>
      </c>
      <c r="F3" t="s" s="47">
        <v>47</v>
      </c>
    </row>
    <row r="4" ht="20.25" customHeight="1">
      <c r="B4" t="s" s="48">
        <v>48</v>
      </c>
      <c r="C4" s="49"/>
      <c r="D4" s="13"/>
      <c r="E4" s="13"/>
      <c r="F4" s="13"/>
    </row>
    <row r="5" ht="20.05" customHeight="1">
      <c r="B5" t="s" s="50">
        <v>49</v>
      </c>
      <c r="C5" s="22">
        <v>-0.06</v>
      </c>
      <c r="D5" s="17">
        <v>0.1</v>
      </c>
      <c r="E5" s="17">
        <v>-0.02</v>
      </c>
      <c r="F5" s="17">
        <v>0.09</v>
      </c>
    </row>
    <row r="6" ht="20.05" customHeight="1">
      <c r="B6" t="s" s="50">
        <v>4</v>
      </c>
      <c r="C6" s="15">
        <f>'Sales - Profit quarterly'!E27*(1+C5)</f>
        <v>40491.44</v>
      </c>
      <c r="D6" s="16">
        <f>C6*(1+D5)</f>
        <v>44540.584</v>
      </c>
      <c r="E6" s="16">
        <f>D6*(1+E5)</f>
        <v>43649.77232</v>
      </c>
      <c r="F6" s="16">
        <f>E6*(1+F5)</f>
        <v>47578.2518288</v>
      </c>
    </row>
    <row r="7" ht="20.05" customHeight="1">
      <c r="B7" t="s" s="50">
        <v>50</v>
      </c>
      <c r="C7" s="51">
        <f>AVERAGE('Sales - Profit quarterly'!H23:H25)</f>
        <v>-0.568292202406012</v>
      </c>
      <c r="D7" s="23">
        <f>C7</f>
        <v>-0.568292202406012</v>
      </c>
      <c r="E7" s="23">
        <f>D7</f>
        <v>-0.568292202406012</v>
      </c>
      <c r="F7" s="23">
        <f>E7</f>
        <v>-0.568292202406012</v>
      </c>
    </row>
    <row r="8" ht="20.05" customHeight="1">
      <c r="B8" t="s" s="50">
        <v>51</v>
      </c>
      <c r="C8" s="15">
        <f>C7*C6</f>
        <v>-23010.9696161909</v>
      </c>
      <c r="D8" s="16">
        <f>D7*D6</f>
        <v>-25312.06657781</v>
      </c>
      <c r="E8" s="16">
        <f>E7*E6</f>
        <v>-24805.8252462538</v>
      </c>
      <c r="F8" s="16">
        <f>F7*F6</f>
        <v>-27038.3495184166</v>
      </c>
    </row>
    <row r="9" ht="20.05" customHeight="1">
      <c r="B9" t="s" s="50">
        <v>52</v>
      </c>
      <c r="C9" s="15">
        <f>C6+C8</f>
        <v>17480.4703838091</v>
      </c>
      <c r="D9" s="16">
        <f>D6+D8</f>
        <v>19228.51742219</v>
      </c>
      <c r="E9" s="16">
        <f>E6+E8</f>
        <v>18843.9470737462</v>
      </c>
      <c r="F9" s="16">
        <f>F6+F8</f>
        <v>20539.9023103834</v>
      </c>
    </row>
    <row r="10" ht="20.05" customHeight="1">
      <c r="B10" t="s" s="50">
        <v>53</v>
      </c>
      <c r="C10" s="15">
        <f>AVERAGE('Cash Flow - Cash Flow quarterly'!F25:F27)</f>
        <v>-4608.333333333330</v>
      </c>
      <c r="D10" s="16">
        <f>C10</f>
        <v>-4608.333333333330</v>
      </c>
      <c r="E10" s="16">
        <f>D10</f>
        <v>-4608.333333333330</v>
      </c>
      <c r="F10" s="16">
        <f>E10</f>
        <v>-4608.333333333330</v>
      </c>
    </row>
    <row r="11" ht="20.05" customHeight="1">
      <c r="B11" t="s" s="50">
        <v>54</v>
      </c>
      <c r="C11" s="15">
        <f>C12+C13+C15</f>
        <v>-12872.1370504758</v>
      </c>
      <c r="D11" s="16">
        <f>D12+D13+D15</f>
        <v>-14620.1840888567</v>
      </c>
      <c r="E11" s="16">
        <f>E12+E13+E15</f>
        <v>-14235.6137404129</v>
      </c>
      <c r="F11" s="16">
        <f>F12+F13+F15</f>
        <v>-15931.5689770501</v>
      </c>
    </row>
    <row r="12" ht="20.05" customHeight="1">
      <c r="B12" t="s" s="50">
        <v>32</v>
      </c>
      <c r="C12" s="15">
        <f>-('Balance sheet - Assets'!G27)/20</f>
        <v>-8695.049999999999</v>
      </c>
      <c r="D12" s="16">
        <f>-C30/20</f>
        <v>-8260.297500000001</v>
      </c>
      <c r="E12" s="16">
        <f>-D30/20</f>
        <v>-7847.282625</v>
      </c>
      <c r="F12" s="16">
        <f>-E30/20</f>
        <v>-7454.91849375</v>
      </c>
    </row>
    <row r="13" ht="20.05" customHeight="1">
      <c r="B13" t="s" s="50">
        <v>55</v>
      </c>
      <c r="C13" s="15">
        <f>IF(C24&gt;0,-C24*0.8,0)</f>
        <v>-10538.9763070473</v>
      </c>
      <c r="D13" s="16">
        <f>IF(D24&gt;0,-D24*0.8,0)</f>
        <v>-11937.413937752</v>
      </c>
      <c r="E13" s="16">
        <f>IF(E24&gt;0,-E24*0.8,0)</f>
        <v>-11629.757658997</v>
      </c>
      <c r="F13" s="16">
        <f>IF(F24&gt;0,-F24*0.8,0)</f>
        <v>-12986.5218483067</v>
      </c>
    </row>
    <row r="14" ht="32.05" customHeight="1">
      <c r="B14" t="s" s="50">
        <v>56</v>
      </c>
      <c r="C14" s="15">
        <f>C9+C10+C12+C13</f>
        <v>-6361.889256571530</v>
      </c>
      <c r="D14" s="16">
        <f>D9+D10+D12+D13</f>
        <v>-5577.527348895330</v>
      </c>
      <c r="E14" s="16">
        <f>E9+E10+E12+E13</f>
        <v>-5241.426543584130</v>
      </c>
      <c r="F14" s="16">
        <f>F9+F10+F12+F13</f>
        <v>-4509.871365006630</v>
      </c>
    </row>
    <row r="15" ht="20.05" customHeight="1">
      <c r="B15" t="s" s="50">
        <v>57</v>
      </c>
      <c r="C15" s="15">
        <f>-MIN(0,C14)</f>
        <v>6361.889256571530</v>
      </c>
      <c r="D15" s="16">
        <f>-MIN(C31,D14)</f>
        <v>5577.527348895330</v>
      </c>
      <c r="E15" s="16">
        <f>-MIN(D31,E14)</f>
        <v>5241.426543584130</v>
      </c>
      <c r="F15" s="16">
        <f>-MIN(E31,F14)</f>
        <v>4509.871365006630</v>
      </c>
    </row>
    <row r="16" ht="20.05" customHeight="1">
      <c r="B16" t="s" s="50">
        <v>58</v>
      </c>
      <c r="C16" s="15">
        <f>'Balance sheet - Assets'!C27</f>
        <v>14432</v>
      </c>
      <c r="D16" s="16">
        <f>C18</f>
        <v>14432</v>
      </c>
      <c r="E16" s="16">
        <f>D18</f>
        <v>14432</v>
      </c>
      <c r="F16" s="16">
        <f>E18</f>
        <v>14432</v>
      </c>
    </row>
    <row r="17" ht="20.05" customHeight="1">
      <c r="B17" t="s" s="50">
        <v>59</v>
      </c>
      <c r="C17" s="15">
        <f>C9+C10+C11</f>
        <v>-3e-11</v>
      </c>
      <c r="D17" s="16">
        <f>D9+D10+D11</f>
        <v>-3e-11</v>
      </c>
      <c r="E17" s="16">
        <f>E9+E10+E11</f>
        <v>-3e-11</v>
      </c>
      <c r="F17" s="16">
        <f>F9+F10+F11</f>
        <v>-3e-11</v>
      </c>
    </row>
    <row r="18" ht="20.05" customHeight="1">
      <c r="B18" t="s" s="50">
        <v>60</v>
      </c>
      <c r="C18" s="15">
        <f>C16+C17</f>
        <v>14432</v>
      </c>
      <c r="D18" s="16">
        <f>D16+D17</f>
        <v>14432</v>
      </c>
      <c r="E18" s="16">
        <f>E16+E17</f>
        <v>14432</v>
      </c>
      <c r="F18" s="16">
        <f>F16+F17</f>
        <v>14432</v>
      </c>
    </row>
    <row r="19" ht="20.05" customHeight="1">
      <c r="B19" t="s" s="52">
        <v>61</v>
      </c>
      <c r="C19" s="53"/>
      <c r="D19" s="19"/>
      <c r="E19" s="16">
        <f>SUM('Sales - Profit quarterly'!E24:E27)</f>
        <v>153284</v>
      </c>
      <c r="F19" s="16">
        <f>SUM(C20:F20)</f>
        <v>176260.0481488</v>
      </c>
    </row>
    <row r="20" ht="20.05" customHeight="1">
      <c r="B20" t="s" s="50">
        <v>4</v>
      </c>
      <c r="C20" s="15">
        <f>C6</f>
        <v>40491.44</v>
      </c>
      <c r="D20" s="16">
        <f>D6</f>
        <v>44540.584</v>
      </c>
      <c r="E20" s="16">
        <f>E6</f>
        <v>43649.77232</v>
      </c>
      <c r="F20" s="16">
        <f>F6</f>
        <v>47578.2518288</v>
      </c>
    </row>
    <row r="21" ht="20.05" customHeight="1">
      <c r="B21" t="s" s="50">
        <v>31</v>
      </c>
      <c r="C21" s="15">
        <f>-AVERAGE('Cash Flow - Cash Flow quarterly'!D24:D27)</f>
        <v>-3007</v>
      </c>
      <c r="D21" s="16">
        <f>C21</f>
        <v>-3007</v>
      </c>
      <c r="E21" s="16">
        <f>D21</f>
        <v>-3007</v>
      </c>
      <c r="F21" s="16">
        <f>E21</f>
        <v>-3007</v>
      </c>
    </row>
    <row r="22" ht="20.05" customHeight="1">
      <c r="B22" t="s" s="50">
        <v>18</v>
      </c>
      <c r="C22" s="15">
        <f>-AVERAGE('Cash Flow - Cash Flow quarterly'!E24:E27)</f>
        <v>-1299.75</v>
      </c>
      <c r="D22" s="16">
        <f>C22</f>
        <v>-1299.75</v>
      </c>
      <c r="E22" s="16">
        <f>D22</f>
        <v>-1299.75</v>
      </c>
      <c r="F22" s="16">
        <f>E22</f>
        <v>-1299.75</v>
      </c>
    </row>
    <row r="23" ht="20.05" customHeight="1">
      <c r="B23" t="s" s="50">
        <v>62</v>
      </c>
      <c r="C23" s="15">
        <f>C8</f>
        <v>-23010.9696161909</v>
      </c>
      <c r="D23" s="16">
        <f>D8</f>
        <v>-25312.06657781</v>
      </c>
      <c r="E23" s="16">
        <f>E8</f>
        <v>-24805.8252462538</v>
      </c>
      <c r="F23" s="16">
        <f>F8</f>
        <v>-27038.3495184166</v>
      </c>
    </row>
    <row r="24" ht="20.05" customHeight="1">
      <c r="B24" t="s" s="50">
        <v>63</v>
      </c>
      <c r="C24" s="15">
        <f>SUM(C20:C23)</f>
        <v>13173.7203838091</v>
      </c>
      <c r="D24" s="16">
        <f>SUM(D20:D23)</f>
        <v>14921.76742219</v>
      </c>
      <c r="E24" s="16">
        <f>SUM(E20:E23)</f>
        <v>14537.1970737462</v>
      </c>
      <c r="F24" s="16">
        <f>SUM(F20:F23)</f>
        <v>16233.1523103834</v>
      </c>
    </row>
    <row r="25" ht="20.05" customHeight="1">
      <c r="B25" t="s" s="54">
        <v>25</v>
      </c>
      <c r="C25" s="53"/>
      <c r="D25" s="19"/>
      <c r="E25" s="16">
        <f>SUM('Cash Flow - Cash Flow quarterly'!C24:C27)</f>
        <v>51310</v>
      </c>
      <c r="F25" s="16">
        <f>SUM(C24:F24)</f>
        <v>58865.8371901287</v>
      </c>
    </row>
    <row r="26" ht="20.05" customHeight="1">
      <c r="B26" t="s" s="50">
        <v>28</v>
      </c>
      <c r="C26" s="15">
        <f>C18</f>
        <v>14432</v>
      </c>
      <c r="D26" s="16">
        <f>D18</f>
        <v>14432</v>
      </c>
      <c r="E26" s="16">
        <f>E18</f>
        <v>14432</v>
      </c>
      <c r="F26" s="16">
        <f>F18</f>
        <v>14432</v>
      </c>
    </row>
    <row r="27" ht="20.05" customHeight="1">
      <c r="B27" t="s" s="50">
        <v>64</v>
      </c>
      <c r="C27" s="15">
        <f>'Balance sheet - Assets'!F27+'Balance sheet - Assets'!E27-C10</f>
        <v>355815.333333333</v>
      </c>
      <c r="D27" s="16">
        <f>C27-D10</f>
        <v>360423.666666666</v>
      </c>
      <c r="E27" s="16">
        <f>D27-E10</f>
        <v>365031.999999999</v>
      </c>
      <c r="F27" s="16">
        <f>E27-F10</f>
        <v>369640.333333332</v>
      </c>
    </row>
    <row r="28" ht="20.05" customHeight="1">
      <c r="B28" t="s" s="50">
        <v>31</v>
      </c>
      <c r="C28" s="15">
        <f>'Balance sheet - Assets'!F27-C21-C22</f>
        <v>65808.75</v>
      </c>
      <c r="D28" s="16">
        <f>C28-D21-D22</f>
        <v>70115.5</v>
      </c>
      <c r="E28" s="16">
        <f>D28-E21-E22</f>
        <v>74422.25</v>
      </c>
      <c r="F28" s="16">
        <f>E28-F21-F22</f>
        <v>78729</v>
      </c>
    </row>
    <row r="29" ht="20.05" customHeight="1">
      <c r="B29" t="s" s="50">
        <v>65</v>
      </c>
      <c r="C29" s="15">
        <f>C27-C28</f>
        <v>290006.583333333</v>
      </c>
      <c r="D29" s="16">
        <f>D27-D28</f>
        <v>290308.166666666</v>
      </c>
      <c r="E29" s="16">
        <f>E27-E28</f>
        <v>290609.749999999</v>
      </c>
      <c r="F29" s="16">
        <f>F27-F28</f>
        <v>290911.333333332</v>
      </c>
    </row>
    <row r="30" ht="20.05" customHeight="1">
      <c r="B30" t="s" s="50">
        <v>32</v>
      </c>
      <c r="C30" s="15">
        <f>'Balance sheet - Assets'!G27+C12</f>
        <v>165205.95</v>
      </c>
      <c r="D30" s="16">
        <f>C30+D12</f>
        <v>156945.6525</v>
      </c>
      <c r="E30" s="16">
        <f>D30+E12</f>
        <v>149098.369875</v>
      </c>
      <c r="F30" s="16">
        <f>E30+F12</f>
        <v>141643.45138125</v>
      </c>
    </row>
    <row r="31" ht="20.05" customHeight="1">
      <c r="B31" t="s" s="50">
        <v>57</v>
      </c>
      <c r="C31" s="15">
        <f>C15</f>
        <v>6361.889256571530</v>
      </c>
      <c r="D31" s="16">
        <f>C31+D15</f>
        <v>11939.4166054669</v>
      </c>
      <c r="E31" s="16">
        <f>D31+E15</f>
        <v>17180.843149051</v>
      </c>
      <c r="F31" s="16">
        <f>E31+F15</f>
        <v>21690.7145140576</v>
      </c>
    </row>
    <row r="32" ht="20.05" customHeight="1">
      <c r="B32" t="s" s="50">
        <v>33</v>
      </c>
      <c r="C32" s="15">
        <f>'Balance sheet - Assets'!H27+C24+C13</f>
        <v>132870.744076762</v>
      </c>
      <c r="D32" s="16">
        <f>C32+D24+D13</f>
        <v>135855.0975612</v>
      </c>
      <c r="E32" s="16">
        <f>D32+E24+E13</f>
        <v>138762.536975949</v>
      </c>
      <c r="F32" s="16">
        <f>E32+F24+F13</f>
        <v>142009.167438026</v>
      </c>
    </row>
    <row r="33" ht="20.05" customHeight="1">
      <c r="B33" t="s" s="50">
        <v>34</v>
      </c>
      <c r="C33" s="55">
        <f>C30+C31+C32-C26-C29</f>
        <v>5.3e-10</v>
      </c>
      <c r="D33" s="45">
        <f>D30+D31+D32-D26-D29</f>
        <v>9e-10</v>
      </c>
      <c r="E33" s="45">
        <f>E30+E31+E32-E26-E29</f>
        <v>1e-09</v>
      </c>
      <c r="F33" s="45">
        <f>F30+F31+F32-F26-F29</f>
        <v>1.6e-09</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B3:E19"/>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5.4375" style="56" customWidth="1"/>
    <col min="2" max="2" width="13.7656" style="56" customWidth="1"/>
    <col min="3" max="5" width="10.6016" style="56" customWidth="1"/>
    <col min="6" max="16384" width="16.3516" style="56" customWidth="1"/>
  </cols>
  <sheetData>
    <row r="1" ht="25.3" customHeight="1"/>
    <row r="2" ht="27.65" customHeight="1">
      <c r="B2" t="s" s="7">
        <v>66</v>
      </c>
      <c r="C2" s="7"/>
      <c r="D2" s="7"/>
      <c r="E2" s="7"/>
    </row>
    <row r="3" ht="20.25" customHeight="1">
      <c r="B3" t="s" s="47">
        <v>7</v>
      </c>
      <c r="C3" s="28"/>
      <c r="D3" s="57">
        <v>44501</v>
      </c>
      <c r="E3" s="57">
        <v>44197</v>
      </c>
    </row>
    <row r="4" ht="20.25" customHeight="1">
      <c r="B4" t="s" s="58">
        <v>68</v>
      </c>
      <c r="C4" s="59">
        <v>51776</v>
      </c>
      <c r="D4" s="60">
        <v>49942</v>
      </c>
      <c r="E4" s="11">
        <f>SUM('Model - Financial model'!C9:F10)</f>
        <v>57659.5038567954</v>
      </c>
    </row>
    <row r="5" ht="20.05" customHeight="1">
      <c r="B5" t="s" s="50">
        <v>69</v>
      </c>
      <c r="C5" s="61">
        <v>0.016</v>
      </c>
      <c r="D5" s="62">
        <v>0.016</v>
      </c>
      <c r="E5" s="62">
        <v>0.016</v>
      </c>
    </row>
    <row r="6" ht="20.05" customHeight="1">
      <c r="B6" t="s" s="50">
        <v>70</v>
      </c>
      <c r="C6" s="15">
        <f>C4/C5</f>
        <v>3236000</v>
      </c>
      <c r="D6" s="16">
        <f>D4/D5</f>
        <v>3121375</v>
      </c>
      <c r="E6" s="16">
        <f>E4/E5</f>
        <v>3603718.99104971</v>
      </c>
    </row>
    <row r="7" ht="20.05" customHeight="1">
      <c r="B7" t="s" s="50">
        <v>71</v>
      </c>
      <c r="C7" s="55">
        <v>0.65</v>
      </c>
      <c r="D7" s="45">
        <v>0.65</v>
      </c>
      <c r="E7" s="45">
        <v>0.6</v>
      </c>
    </row>
    <row r="8" ht="20.05" customHeight="1">
      <c r="B8" t="s" s="50">
        <v>72</v>
      </c>
      <c r="C8" s="15">
        <f>C6*C7</f>
        <v>2103400</v>
      </c>
      <c r="D8" s="16">
        <f>D6*D7</f>
        <v>2028893.75</v>
      </c>
      <c r="E8" s="16">
        <f>E6*E7</f>
        <v>2162231.39462983</v>
      </c>
    </row>
    <row r="9" ht="20.05" customHeight="1">
      <c r="B9" t="s" s="50">
        <v>73</v>
      </c>
      <c r="C9" s="63">
        <f t="shared" si="7" ref="C9:E9">1540000/203.85</f>
        <v>7554.574441991660</v>
      </c>
      <c r="D9" s="64">
        <f t="shared" si="7"/>
        <v>7554.574441991660</v>
      </c>
      <c r="E9" s="64">
        <f t="shared" si="7"/>
        <v>7554.574441991660</v>
      </c>
    </row>
    <row r="10" ht="20.05" customHeight="1">
      <c r="B10" t="s" s="50">
        <v>74</v>
      </c>
      <c r="C10" s="20">
        <f>C8/C9</f>
        <v>278.427331168831</v>
      </c>
      <c r="D10" s="21">
        <f>D8/D9</f>
        <v>268.564929180195</v>
      </c>
      <c r="E10" s="21">
        <f>E8/E9</f>
        <v>286.214850516423</v>
      </c>
    </row>
    <row r="11" ht="20.05" customHeight="1">
      <c r="B11" t="s" s="50">
        <v>75</v>
      </c>
      <c r="C11" s="53"/>
      <c r="D11" s="21">
        <f>D9*'Share price - MSFT'!D86</f>
        <v>1617207.80367918</v>
      </c>
      <c r="E11" s="21">
        <f>E9*'Share price - MSFT'!D88</f>
        <v>1755154.29521707</v>
      </c>
    </row>
    <row r="12" ht="20.05" customHeight="1">
      <c r="B12" t="s" s="50">
        <v>76</v>
      </c>
      <c r="C12" s="53"/>
      <c r="D12" s="65"/>
      <c r="E12" s="65">
        <f>E11/'Cash Flow - Cash Flow quarterly'!L27</f>
        <v>13.6941693341323</v>
      </c>
    </row>
    <row r="13" ht="20.05" customHeight="1">
      <c r="B13" t="s" s="50">
        <v>77</v>
      </c>
      <c r="C13" s="53"/>
      <c r="D13" s="65"/>
      <c r="E13" s="65">
        <f>E11/'Model - Financial model'!F19</f>
        <v>9.95775454307919</v>
      </c>
    </row>
    <row r="14" ht="20.05" customHeight="1">
      <c r="B14" t="s" s="50">
        <v>78</v>
      </c>
      <c r="C14" s="53"/>
      <c r="D14" s="65"/>
      <c r="E14" s="65">
        <f>E11/('Model - Financial model'!F26+'Model - Financial model'!F27+'Model - Financial model'!F29)</f>
        <v>2.60029150614076</v>
      </c>
    </row>
    <row r="15" ht="20.05" customHeight="1">
      <c r="B15" t="s" s="50">
        <v>79</v>
      </c>
      <c r="C15" s="53"/>
      <c r="D15" s="65"/>
      <c r="E15" s="65">
        <f>E11/'Model - Financial model'!F32</f>
        <v>12.3594435970694</v>
      </c>
    </row>
    <row r="16" ht="20.05" customHeight="1">
      <c r="B16" t="s" s="50">
        <v>80</v>
      </c>
      <c r="C16" s="53"/>
      <c r="D16" s="66"/>
      <c r="E16" s="66">
        <f>'Model - Financial model'!F25/'Model - Financial model'!F32</f>
        <v>0.414521387964747</v>
      </c>
    </row>
    <row r="17" ht="20.05" customHeight="1">
      <c r="B17" t="s" s="50">
        <v>11</v>
      </c>
      <c r="C17" s="53"/>
      <c r="D17" s="66"/>
      <c r="E17" s="66">
        <f>'Model - Financial model'!F19/'Model - Financial model'!E19-1</f>
        <v>0.149892018402443</v>
      </c>
    </row>
    <row r="18" ht="20.05" customHeight="1">
      <c r="B18" t="s" s="50">
        <v>81</v>
      </c>
      <c r="C18" s="53"/>
      <c r="D18" s="66"/>
      <c r="E18" s="66">
        <f>'Model - Financial model'!F25/'Model - Financial model'!E25-1</f>
        <v>0.147258569287248</v>
      </c>
    </row>
    <row r="19" ht="20.05" customHeight="1">
      <c r="B19" t="s" s="50">
        <v>82</v>
      </c>
      <c r="C19" s="53"/>
      <c r="D19" s="66"/>
      <c r="E19" s="66">
        <f>-('Model - Financial model'!C13+'Model - Financial model'!D13+'Model - Financial model'!E13+'Model - Financial model'!F13)/E11</f>
        <v>0.0268310711374118</v>
      </c>
    </row>
  </sheetData>
  <mergeCells count="1">
    <mergeCell ref="B2:E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