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<sst xmlns="http://schemas.openxmlformats.org/spreadsheetml/2006/main" uniqueCount="55">
  <si>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</si>
  <si>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</si>
  <si>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</si>
  <si>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</si>
  <si>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</si>
  <si>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</si>
  <si>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</si>
  <si>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</si>
  <si>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</si>
  <si>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</si>
  <si>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</si>
  <si>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</si>
  <si>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</si>
  <si>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</si>
  <si>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</si>
  <si>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</si>
  <si>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</si>
  <si>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</si>
  <si>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</si>
  <si>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</si>
  <si>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</si>
  <si>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</si>
  <si>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</si>
  <si>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</si>
  <si>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</si>
  <si>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</si>
  <si>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</si>
  <si>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</si>
  <si>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</si>
  <si>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</si>
  <si>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</si>
  <si>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P/assetd</t>
  </si>
  <si>
    <t>Yield</t>
  </si>
  <si>
    <t>Cashflow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</si>
  <si>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</si>
  <si>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</si>
  <si>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</si>
  <si>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</si>
  <si>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</si>
  <si>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</si>
  <si>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</si>
  <si>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</si>
  <si>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</si>
  <si>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Profit</t>
  </si>
  <si>
    <t xml:space="preserve">Sales growth </t>
  </si>
  <si>
    <t xml:space="preserve">Receipts </t>
  </si>
  <si>
    <t>Interest</t>
  </si>
  <si>
    <t>Lease</t>
  </si>
  <si>
    <t xml:space="preserve">Free cashflow </t>
  </si>
  <si>
    <t>Cash</t>
  </si>
  <si>
    <t>Assets</t>
  </si>
  <si>
    <t>Share price</t>
  </si>
  <si>
    <t>MPPA</t>
  </si>
  <si>
    <t>Target</t>
  </si>
  <si>
    <t>Previous 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</si>
</sst>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borderId="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358969</xdr:colOff>
      <xdr:row>0</xdr:row>
      <xdr:rowOff>256612</xdr:rowOff>
    </xdr:from>
    <xdr:to>
      <xdr:col>12</xdr:col>
      <xdr:colOff>490815</xdr:colOff>
      <xdr:row>48</xdr:row>
      <xdr:rowOff>68445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99169" y="256612"/>
          <a:ext cx="8844047" cy="121359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5" style="1" customWidth="1"/>
    <col min="2" max="5" width="9.9140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AVERAGE('Sales'!G25:G28)</f>
        <v>0.0519252131362254</v>
      </c>
      <c r="C3" s="8"/>
      <c r="D3" s="8"/>
      <c r="E3" s="9">
        <f>AVERAGE(B4:E4)</f>
        <v>0.0825</v>
      </c>
    </row>
    <row r="4" ht="20.05" customHeight="1">
      <c r="A4" t="s" s="10">
        <v>4</v>
      </c>
      <c r="B4" s="11">
        <v>0.25</v>
      </c>
      <c r="C4" s="12">
        <v>-0.15</v>
      </c>
      <c r="D4" s="12">
        <v>0.25</v>
      </c>
      <c r="E4" s="12">
        <v>-0.02</v>
      </c>
    </row>
    <row r="5" ht="20.05" customHeight="1">
      <c r="A5" t="s" s="10">
        <v>5</v>
      </c>
      <c r="B5" s="13">
        <f>'Sales'!C28*(1+B4)</f>
        <v>2111.125</v>
      </c>
      <c r="C5" s="14">
        <f>B5*(1+C4)</f>
        <v>1794.45625</v>
      </c>
      <c r="D5" s="14">
        <f>C5*(1+D4)</f>
        <v>2243.0703125</v>
      </c>
      <c r="E5" s="14">
        <f>D5*(1+E4)</f>
        <v>2198.20890625</v>
      </c>
    </row>
    <row r="6" ht="20.05" customHeight="1">
      <c r="A6" t="s" s="10">
        <v>6</v>
      </c>
      <c r="B6" s="15">
        <f>AVERAGE('Sales'!I26)</f>
        <v>-0.957503254090979</v>
      </c>
      <c r="C6" s="16">
        <f>B6</f>
        <v>-0.957503254090979</v>
      </c>
      <c r="D6" s="16">
        <f>C6</f>
        <v>-0.957503254090979</v>
      </c>
      <c r="E6" s="16">
        <f>D6</f>
        <v>-0.957503254090979</v>
      </c>
    </row>
    <row r="7" ht="20.05" customHeight="1">
      <c r="A7" t="s" s="10">
        <v>7</v>
      </c>
      <c r="B7" s="17">
        <f>B5*B6</f>
        <v>-2021.409057292820</v>
      </c>
      <c r="C7" s="18">
        <f>C5*C6</f>
        <v>-1718.1976986989</v>
      </c>
      <c r="D7" s="18">
        <f>D5*D6</f>
        <v>-2147.747123373620</v>
      </c>
      <c r="E7" s="18">
        <f>E5*E6</f>
        <v>-2104.792180906150</v>
      </c>
    </row>
    <row r="8" ht="20.05" customHeight="1">
      <c r="A8" t="s" s="10">
        <v>8</v>
      </c>
      <c r="B8" s="17">
        <f>B5+B7</f>
        <v>89.71594270718001</v>
      </c>
      <c r="C8" s="18">
        <f>C5+C7</f>
        <v>76.2585513011</v>
      </c>
      <c r="D8" s="18">
        <f>D5+D7</f>
        <v>95.323189126380</v>
      </c>
      <c r="E8" s="18">
        <f>E5+E7</f>
        <v>93.416725343850</v>
      </c>
    </row>
    <row r="9" ht="20.05" customHeight="1">
      <c r="A9" t="s" s="10">
        <v>9</v>
      </c>
      <c r="B9" s="17">
        <f>AVERAGE('Cashflow '!E25:E28)</f>
        <v>-8.75</v>
      </c>
      <c r="C9" s="18">
        <f>B9</f>
        <v>-8.75</v>
      </c>
      <c r="D9" s="18">
        <f>C9</f>
        <v>-8.75</v>
      </c>
      <c r="E9" s="18">
        <f>D9</f>
        <v>-8.75</v>
      </c>
    </row>
    <row r="10" ht="20.05" customHeight="1">
      <c r="A10" t="s" s="10">
        <v>10</v>
      </c>
      <c r="B10" s="17">
        <f>AVERAGE('Cashflow '!G25:G28)</f>
        <v>-54.4</v>
      </c>
      <c r="C10" s="18">
        <f>B10</f>
        <v>-54.4</v>
      </c>
      <c r="D10" s="18">
        <f>C10</f>
        <v>-54.4</v>
      </c>
      <c r="E10" s="18">
        <f>D10</f>
        <v>-54.4</v>
      </c>
    </row>
    <row r="11" ht="20.05" customHeight="1">
      <c r="A11" t="s" s="10">
        <v>11</v>
      </c>
      <c r="B11" s="17">
        <f>B12+B15+B13</f>
        <v>-80.96594270718001</v>
      </c>
      <c r="C11" s="18">
        <f>C12+C15+C13</f>
        <v>-67.5085513011</v>
      </c>
      <c r="D11" s="18">
        <f>D12+D15+D13</f>
        <v>-86.573189126380</v>
      </c>
      <c r="E11" s="18">
        <f>E12+E15+E13</f>
        <v>-84.666725343850</v>
      </c>
    </row>
    <row r="12" ht="20.05" customHeight="1">
      <c r="A12" t="s" s="10">
        <v>12</v>
      </c>
      <c r="B12" s="17">
        <f>-'Balance sheet'!G28/20</f>
        <v>-213.2</v>
      </c>
      <c r="C12" s="18">
        <f>-B27/20</f>
        <v>-202.54</v>
      </c>
      <c r="D12" s="18">
        <f>-C27/20</f>
        <v>-192.413</v>
      </c>
      <c r="E12" s="18">
        <f>-D27/20</f>
        <v>-182.79235</v>
      </c>
    </row>
    <row r="13" ht="20.05" customHeight="1">
      <c r="A13" t="s" s="10">
        <v>13</v>
      </c>
      <c r="B13" s="17">
        <f>-MIN(0,B16)</f>
        <v>132.234057292820</v>
      </c>
      <c r="C13" s="18">
        <f>-MIN(B28,C16)</f>
        <v>135.0314486989</v>
      </c>
      <c r="D13" s="18">
        <f>-MIN(C28,D16)</f>
        <v>105.839810873620</v>
      </c>
      <c r="E13" s="18">
        <f>-MIN(D28,E16)</f>
        <v>98.12562465614999</v>
      </c>
    </row>
    <row r="14" ht="20.05" customHeight="1">
      <c r="A14" t="s" s="10">
        <v>14</v>
      </c>
      <c r="B14" s="19">
        <v>0</v>
      </c>
      <c r="C14" s="18"/>
      <c r="D14" s="18"/>
      <c r="E14" s="18"/>
    </row>
    <row r="15" ht="20.05" customHeight="1">
      <c r="A15" t="s" s="10">
        <v>15</v>
      </c>
      <c r="B15" s="17">
        <f>IF(B22&gt;0,-B22*$B$14,0)</f>
        <v>0</v>
      </c>
      <c r="C15" s="18">
        <f>IF(C22&gt;0,-C22*$B$14,0)</f>
        <v>0</v>
      </c>
      <c r="D15" s="18">
        <f>IF(D22&gt;0,-D22*$B$14,0)</f>
        <v>0</v>
      </c>
      <c r="E15" s="18">
        <f>IF(E22&gt;0,-E22*$B$14,0)</f>
        <v>0</v>
      </c>
    </row>
    <row r="16" ht="20.05" customHeight="1">
      <c r="A16" t="s" s="10">
        <v>16</v>
      </c>
      <c r="B16" s="17">
        <f>B8+B9+B12+B15</f>
        <v>-132.234057292820</v>
      </c>
      <c r="C16" s="18">
        <f>C8+C9+C12+C15</f>
        <v>-135.0314486989</v>
      </c>
      <c r="D16" s="18">
        <f>D8+D9+D12+D15</f>
        <v>-105.839810873620</v>
      </c>
      <c r="E16" s="18">
        <f>E8+E9+E12+E15</f>
        <v>-98.12562465614999</v>
      </c>
    </row>
    <row r="17" ht="20.05" customHeight="1">
      <c r="A17" t="s" s="10">
        <v>17</v>
      </c>
      <c r="B17" s="17">
        <f>'Balance sheet'!C28</f>
        <v>348</v>
      </c>
      <c r="C17" s="18">
        <f>B19</f>
        <v>348</v>
      </c>
      <c r="D17" s="18">
        <f>C19</f>
        <v>348</v>
      </c>
      <c r="E17" s="18">
        <f>D19</f>
        <v>348</v>
      </c>
    </row>
    <row r="18" ht="20.05" customHeight="1">
      <c r="A18" t="s" s="10">
        <v>18</v>
      </c>
      <c r="B18" s="17">
        <f>B8+B9+B11</f>
        <v>0</v>
      </c>
      <c r="C18" s="18">
        <f>C8+C9+C11</f>
        <v>0</v>
      </c>
      <c r="D18" s="18">
        <f>D8+D9+D11</f>
        <v>0</v>
      </c>
      <c r="E18" s="18">
        <f>E8+E9+E11</f>
        <v>0</v>
      </c>
    </row>
    <row r="19" ht="20.05" customHeight="1">
      <c r="A19" t="s" s="10">
        <v>19</v>
      </c>
      <c r="B19" s="17">
        <f>B17+B18</f>
        <v>348</v>
      </c>
      <c r="C19" s="18">
        <f>C17+C18</f>
        <v>348</v>
      </c>
      <c r="D19" s="18">
        <f>D17+D18</f>
        <v>348</v>
      </c>
      <c r="E19" s="18">
        <f>E17+E18</f>
        <v>348</v>
      </c>
    </row>
    <row r="20" ht="20.05" customHeight="1">
      <c r="A20" t="s" s="20">
        <v>20</v>
      </c>
      <c r="B20" s="17"/>
      <c r="C20" s="18"/>
      <c r="D20" s="18"/>
      <c r="E20" s="21"/>
    </row>
    <row r="21" ht="20.05" customHeight="1">
      <c r="A21" t="s" s="10">
        <v>21</v>
      </c>
      <c r="B21" s="17">
        <f>-AVERAGE('Sales'!E28)</f>
        <v>-133.3</v>
      </c>
      <c r="C21" s="18">
        <f>B21</f>
        <v>-133.3</v>
      </c>
      <c r="D21" s="18">
        <f>C21</f>
        <v>-133.3</v>
      </c>
      <c r="E21" s="18">
        <f>D21</f>
        <v>-133.3</v>
      </c>
    </row>
    <row r="22" ht="20.05" customHeight="1">
      <c r="A22" t="s" s="10">
        <v>20</v>
      </c>
      <c r="B22" s="17">
        <f>B5+B7+B21</f>
        <v>-43.584057292820</v>
      </c>
      <c r="C22" s="18">
        <f>C5+C7+C21</f>
        <v>-57.0414486989</v>
      </c>
      <c r="D22" s="18">
        <f>D5+D7+D21</f>
        <v>-37.976810873620</v>
      </c>
      <c r="E22" s="18">
        <f>E5+E7+E21</f>
        <v>-39.883274656150</v>
      </c>
    </row>
    <row r="23" ht="20.05" customHeight="1">
      <c r="A23" t="s" s="20">
        <v>22</v>
      </c>
      <c r="B23" s="17"/>
      <c r="C23" s="18"/>
      <c r="D23" s="18"/>
      <c r="E23" s="18"/>
    </row>
    <row r="24" ht="20.05" customHeight="1">
      <c r="A24" t="s" s="10">
        <v>23</v>
      </c>
      <c r="B24" s="17">
        <f>'Balance sheet'!E28+'Balance sheet'!F28-B9</f>
        <v>7425.75</v>
      </c>
      <c r="C24" s="18">
        <f>B24-C9</f>
        <v>7434.5</v>
      </c>
      <c r="D24" s="18">
        <f>C24-D9</f>
        <v>7443.25</v>
      </c>
      <c r="E24" s="18">
        <f>D24-E9</f>
        <v>7452</v>
      </c>
    </row>
    <row r="25" ht="20.05" customHeight="1">
      <c r="A25" t="s" s="10">
        <v>24</v>
      </c>
      <c r="B25" s="17">
        <f>'Balance sheet'!F28-B21</f>
        <v>3159.3</v>
      </c>
      <c r="C25" s="18">
        <f>B25-C21</f>
        <v>3292.6</v>
      </c>
      <c r="D25" s="18">
        <f>C25-D21</f>
        <v>3425.9</v>
      </c>
      <c r="E25" s="18">
        <f>D25-E21</f>
        <v>3559.2</v>
      </c>
    </row>
    <row r="26" ht="20.05" customHeight="1">
      <c r="A26" t="s" s="10">
        <v>25</v>
      </c>
      <c r="B26" s="17">
        <f>B24-B25</f>
        <v>4266.45</v>
      </c>
      <c r="C26" s="18">
        <f>C24-C25</f>
        <v>4141.9</v>
      </c>
      <c r="D26" s="18">
        <f>D24-D25</f>
        <v>4017.35</v>
      </c>
      <c r="E26" s="18">
        <f>E24-E25</f>
        <v>3892.8</v>
      </c>
    </row>
    <row r="27" ht="20.05" customHeight="1">
      <c r="A27" t="s" s="10">
        <v>12</v>
      </c>
      <c r="B27" s="17">
        <f>'Balance sheet'!G28+B12</f>
        <v>4050.8</v>
      </c>
      <c r="C27" s="18">
        <f>B27+C12</f>
        <v>3848.26</v>
      </c>
      <c r="D27" s="18">
        <f>C27+D12</f>
        <v>3655.847</v>
      </c>
      <c r="E27" s="18">
        <f>D27+E12</f>
        <v>3473.05465</v>
      </c>
    </row>
    <row r="28" ht="20.05" customHeight="1">
      <c r="A28" t="s" s="10">
        <v>13</v>
      </c>
      <c r="B28" s="17">
        <f>B13</f>
        <v>132.234057292820</v>
      </c>
      <c r="C28" s="18">
        <f>B28+C13</f>
        <v>267.265505991720</v>
      </c>
      <c r="D28" s="18">
        <f>C28+D13</f>
        <v>373.105316865340</v>
      </c>
      <c r="E28" s="18">
        <f>D28+E13</f>
        <v>471.230941521490</v>
      </c>
    </row>
    <row r="29" ht="20.05" customHeight="1">
      <c r="A29" t="s" s="10">
        <v>15</v>
      </c>
      <c r="B29" s="17">
        <f>'Balance sheet'!H28+B22+B15</f>
        <v>431.415942707180</v>
      </c>
      <c r="C29" s="18">
        <f>B29+C22+C15</f>
        <v>374.374494008280</v>
      </c>
      <c r="D29" s="18">
        <f>C29+D22+D15</f>
        <v>336.397683134660</v>
      </c>
      <c r="E29" s="18">
        <f>D29+E22+E15</f>
        <v>296.514408478510</v>
      </c>
    </row>
    <row r="30" ht="20.05" customHeight="1">
      <c r="A30" t="s" s="10">
        <v>26</v>
      </c>
      <c r="B30" s="17">
        <f>B27+B28+B29-B19-B26</f>
        <v>0</v>
      </c>
      <c r="C30" s="18">
        <f>C27+C28+C29-C19-C26</f>
        <v>0</v>
      </c>
      <c r="D30" s="18">
        <f>D27+D28+D29-D19-D26</f>
        <v>0</v>
      </c>
      <c r="E30" s="18">
        <f>E27+E28+E29-E19-E26</f>
        <v>0</v>
      </c>
    </row>
    <row r="31" ht="20.05" customHeight="1">
      <c r="A31" t="s" s="10">
        <v>27</v>
      </c>
      <c r="B31" s="17">
        <f>B19-B27-B28</f>
        <v>-3835.034057292820</v>
      </c>
      <c r="C31" s="18">
        <f>C19-C27-C28</f>
        <v>-3767.525505991720</v>
      </c>
      <c r="D31" s="18">
        <f>D19-D27-D28</f>
        <v>-3680.952316865340</v>
      </c>
      <c r="E31" s="18">
        <f>E19-E27-E28</f>
        <v>-3596.285591521490</v>
      </c>
    </row>
    <row r="32" ht="20.05" customHeight="1">
      <c r="A32" t="s" s="20">
        <v>28</v>
      </c>
      <c r="B32" s="17"/>
      <c r="C32" s="18"/>
      <c r="D32" s="18"/>
      <c r="E32" s="18"/>
    </row>
    <row r="33" ht="20.05" customHeight="1">
      <c r="A33" t="s" s="10">
        <v>29</v>
      </c>
      <c r="B33" s="17">
        <f>'Cashflow '!N28-B11</f>
        <v>-1386.034057292820</v>
      </c>
      <c r="C33" s="18">
        <f>B33-C11</f>
        <v>-1318.525505991720</v>
      </c>
      <c r="D33" s="18">
        <f>C33-D11</f>
        <v>-1231.952316865340</v>
      </c>
      <c r="E33" s="18">
        <f>D33-E11</f>
        <v>-1147.285591521490</v>
      </c>
    </row>
    <row r="34" ht="20.05" customHeight="1">
      <c r="A34" t="s" s="10">
        <v>30</v>
      </c>
      <c r="B34" s="17"/>
      <c r="C34" s="18"/>
      <c r="D34" s="18"/>
      <c r="E34" s="18">
        <v>2051610609664</v>
      </c>
    </row>
    <row r="35" ht="20.05" customHeight="1">
      <c r="A35" t="s" s="10">
        <v>30</v>
      </c>
      <c r="B35" s="17"/>
      <c r="C35" s="18"/>
      <c r="D35" s="18"/>
      <c r="E35" s="18">
        <f>E34/1000000000</f>
        <v>2051.610609664</v>
      </c>
    </row>
    <row r="36" ht="20.05" customHeight="1">
      <c r="A36" t="s" s="10">
        <v>31</v>
      </c>
      <c r="B36" s="17"/>
      <c r="C36" s="18"/>
      <c r="D36" s="18"/>
      <c r="E36" s="22">
        <f>E35/(E19+E26)</f>
        <v>0.483779147723071</v>
      </c>
    </row>
    <row r="37" ht="20.05" customHeight="1">
      <c r="A37" t="s" s="10">
        <v>32</v>
      </c>
      <c r="B37" s="17"/>
      <c r="C37" s="18"/>
      <c r="D37" s="18"/>
      <c r="E37" s="23">
        <f>-(B15+C15+D15+E15)/E35</f>
        <v>0</v>
      </c>
    </row>
    <row r="38" ht="20.05" customHeight="1">
      <c r="A38" t="s" s="10">
        <v>33</v>
      </c>
      <c r="B38" s="17"/>
      <c r="C38" s="18"/>
      <c r="D38" s="18"/>
      <c r="E38" s="18">
        <f>SUM(E8:E10)*4</f>
        <v>121.0669013754</v>
      </c>
    </row>
    <row r="39" ht="20.05" customHeight="1">
      <c r="A39" t="s" s="10">
        <v>34</v>
      </c>
      <c r="B39" s="17"/>
      <c r="C39" s="18"/>
      <c r="D39" s="18"/>
      <c r="E39" s="18">
        <f>'Balance sheet'!E28/E38</f>
        <v>36.2692028136125</v>
      </c>
    </row>
    <row r="40" ht="20.05" customHeight="1">
      <c r="A40" t="s" s="10">
        <v>28</v>
      </c>
      <c r="B40" s="17"/>
      <c r="C40" s="18"/>
      <c r="D40" s="18"/>
      <c r="E40" s="18">
        <f>E35/E38</f>
        <v>16.9460900242457</v>
      </c>
    </row>
    <row r="41" ht="20.05" customHeight="1">
      <c r="A41" t="s" s="10">
        <v>35</v>
      </c>
      <c r="B41" s="17"/>
      <c r="C41" s="18"/>
      <c r="D41" s="18"/>
      <c r="E41" s="24">
        <v>15</v>
      </c>
    </row>
    <row r="42" ht="20.05" customHeight="1">
      <c r="A42" t="s" s="10">
        <v>36</v>
      </c>
      <c r="B42" s="17"/>
      <c r="C42" s="18"/>
      <c r="D42" s="18"/>
      <c r="E42" s="18">
        <f>E38*E41</f>
        <v>1816.003520631</v>
      </c>
    </row>
    <row r="43" ht="20.05" customHeight="1">
      <c r="A43" t="s" s="10">
        <v>37</v>
      </c>
      <c r="B43" s="17"/>
      <c r="C43" s="18"/>
      <c r="D43" s="18"/>
      <c r="E43" s="25">
        <f>E35/E45</f>
        <v>8.477729792</v>
      </c>
    </row>
    <row r="44" ht="20.05" customHeight="1">
      <c r="A44" t="s" s="10">
        <v>38</v>
      </c>
      <c r="B44" s="17"/>
      <c r="C44" s="18"/>
      <c r="D44" s="18"/>
      <c r="E44" s="18">
        <f>E42/E43</f>
        <v>214.208705064494</v>
      </c>
    </row>
    <row r="45" ht="20.05" customHeight="1">
      <c r="A45" t="s" s="10">
        <v>39</v>
      </c>
      <c r="B45" s="17"/>
      <c r="C45" s="18"/>
      <c r="D45" s="18"/>
      <c r="E45" s="24">
        <v>242</v>
      </c>
    </row>
    <row r="46" ht="20.05" customHeight="1">
      <c r="A46" t="s" s="10">
        <v>40</v>
      </c>
      <c r="B46" s="17"/>
      <c r="C46" s="18"/>
      <c r="D46" s="18"/>
      <c r="E46" s="16">
        <f>E44/E45-1</f>
        <v>-0.114840061716967</v>
      </c>
    </row>
    <row r="47" ht="20.05" customHeight="1">
      <c r="A47" t="s" s="10">
        <v>41</v>
      </c>
      <c r="B47" s="17"/>
      <c r="C47" s="18"/>
      <c r="D47" s="18"/>
      <c r="E47" s="16">
        <f>'Sales'!C28/'Sales'!C24-1</f>
        <v>0.0917964962182429</v>
      </c>
    </row>
    <row r="48" ht="20.05" customHeight="1">
      <c r="A48" t="s" s="10">
        <v>42</v>
      </c>
      <c r="B48" s="17"/>
      <c r="C48" s="18"/>
      <c r="D48" s="18"/>
      <c r="E48" s="16">
        <f>'Sales'!F31/'Sales'!E31-1</f>
        <v>0.0066657641124382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0625" style="26" customWidth="1"/>
    <col min="2" max="10" width="11.9766" style="26" customWidth="1"/>
    <col min="11" max="16384" width="16.3516" style="26" customWidth="1"/>
  </cols>
  <sheetData>
    <row r="1" ht="8.9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</row>
    <row r="3" ht="20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20</v>
      </c>
      <c r="G3" t="s" s="5">
        <v>44</v>
      </c>
      <c r="H3" t="s" s="5">
        <v>6</v>
      </c>
      <c r="I3" t="s" s="5">
        <v>6</v>
      </c>
      <c r="J3" t="s" s="5">
        <v>35</v>
      </c>
    </row>
    <row r="4" ht="20.25" customHeight="1">
      <c r="B4" s="27">
        <v>2016</v>
      </c>
      <c r="C4" s="28">
        <v>3265</v>
      </c>
      <c r="D4" s="29"/>
      <c r="E4" s="29">
        <v>86.75</v>
      </c>
      <c r="F4" s="29">
        <v>-123</v>
      </c>
      <c r="G4" s="30"/>
      <c r="H4" s="30">
        <f>(E4+F4-C4)/C4</f>
        <v>-1.01110260336907</v>
      </c>
      <c r="I4" s="30"/>
      <c r="J4" s="30"/>
    </row>
    <row r="5" ht="20.05" customHeight="1">
      <c r="B5" s="31"/>
      <c r="C5" s="17">
        <v>3736</v>
      </c>
      <c r="D5" s="18"/>
      <c r="E5" s="18">
        <v>86.75</v>
      </c>
      <c r="F5" s="18">
        <v>144</v>
      </c>
      <c r="G5" s="16">
        <f>C5/C4-1</f>
        <v>0.144257274119449</v>
      </c>
      <c r="H5" s="16">
        <f>(E5+F5-C5)/C5</f>
        <v>-0.93823608137045</v>
      </c>
      <c r="I5" s="16"/>
      <c r="J5" s="16"/>
    </row>
    <row r="6" ht="20.05" customHeight="1">
      <c r="B6" s="31"/>
      <c r="C6" s="17">
        <v>3393</v>
      </c>
      <c r="D6" s="18"/>
      <c r="E6" s="18">
        <v>86.75</v>
      </c>
      <c r="F6" s="18">
        <v>12</v>
      </c>
      <c r="G6" s="16">
        <f>C6/C5-1</f>
        <v>-0.0918094218415418</v>
      </c>
      <c r="H6" s="16">
        <f>(E6+F6-C6)/C6</f>
        <v>-0.970895962275273</v>
      </c>
      <c r="I6" s="16"/>
      <c r="J6" s="16"/>
    </row>
    <row r="7" ht="20.05" customHeight="1">
      <c r="B7" s="31"/>
      <c r="C7" s="17">
        <v>3133</v>
      </c>
      <c r="D7" s="18"/>
      <c r="E7" s="18">
        <v>86.75</v>
      </c>
      <c r="F7" s="18">
        <v>5</v>
      </c>
      <c r="G7" s="16">
        <f>C7/C6-1</f>
        <v>-0.07662835249042151</v>
      </c>
      <c r="H7" s="16">
        <f>(E7+F7-C7)/C7</f>
        <v>-0.9707149696776251</v>
      </c>
      <c r="I7" s="16"/>
      <c r="J7" s="16"/>
    </row>
    <row r="8" ht="20.05" customHeight="1">
      <c r="B8" s="32">
        <v>2017</v>
      </c>
      <c r="C8" s="17">
        <v>3101</v>
      </c>
      <c r="D8" s="18"/>
      <c r="E8" s="18">
        <v>89.5</v>
      </c>
      <c r="F8" s="18">
        <v>-177</v>
      </c>
      <c r="G8" s="16">
        <f>C8/C7-1</f>
        <v>-0.010213852537504</v>
      </c>
      <c r="H8" s="16">
        <f>(E8+F8-C8)/C8</f>
        <v>-1.02821670428894</v>
      </c>
      <c r="I8" s="16">
        <f>AVERAGE(H5:H8)</f>
        <v>-0.977015929403072</v>
      </c>
      <c r="J8" s="16"/>
    </row>
    <row r="9" ht="20.05" customHeight="1">
      <c r="B9" s="31"/>
      <c r="C9" s="17">
        <v>3615</v>
      </c>
      <c r="D9" s="18"/>
      <c r="E9" s="18">
        <v>89.5</v>
      </c>
      <c r="F9" s="18">
        <v>7</v>
      </c>
      <c r="G9" s="16">
        <f>C9/C8-1</f>
        <v>0.165752982908739</v>
      </c>
      <c r="H9" s="16">
        <f>(E9+F9-C9)/C9</f>
        <v>-0.973305670816044</v>
      </c>
      <c r="I9" s="16">
        <f>AVERAGE(H6:H9)</f>
        <v>-0.985783326764471</v>
      </c>
      <c r="J9" s="16"/>
    </row>
    <row r="10" ht="20.05" customHeight="1">
      <c r="B10" s="31"/>
      <c r="C10" s="17">
        <v>2895</v>
      </c>
      <c r="D10" s="18"/>
      <c r="E10" s="18">
        <v>89.5</v>
      </c>
      <c r="F10" s="18">
        <v>-216</v>
      </c>
      <c r="G10" s="16">
        <f>C10/C9-1</f>
        <v>-0.199170124481328</v>
      </c>
      <c r="H10" s="16">
        <f>(E10+F10-C10)/C10</f>
        <v>-1.04369602763385</v>
      </c>
      <c r="I10" s="16">
        <f>AVERAGE(H7:H10)</f>
        <v>-1.00398334310411</v>
      </c>
      <c r="J10" s="16"/>
    </row>
    <row r="11" ht="20.05" customHeight="1">
      <c r="B11" s="31"/>
      <c r="C11" s="17">
        <v>2952</v>
      </c>
      <c r="D11" s="18"/>
      <c r="E11" s="18">
        <v>89.5</v>
      </c>
      <c r="F11" s="18">
        <v>-857</v>
      </c>
      <c r="G11" s="16">
        <f>C11/C10-1</f>
        <v>0.0196891191709845</v>
      </c>
      <c r="H11" s="16">
        <f>(E11+F11-C11)/C11</f>
        <v>-1.25999322493225</v>
      </c>
      <c r="I11" s="16">
        <f>AVERAGE(H8:H11)</f>
        <v>-1.07630290691777</v>
      </c>
      <c r="J11" s="16"/>
    </row>
    <row r="12" ht="20.05" customHeight="1">
      <c r="B12" s="32">
        <v>2018</v>
      </c>
      <c r="C12" s="17">
        <v>2915</v>
      </c>
      <c r="D12" s="18"/>
      <c r="E12" s="18">
        <v>83</v>
      </c>
      <c r="F12" s="18">
        <v>-160</v>
      </c>
      <c r="G12" s="16">
        <f>C12/C11-1</f>
        <v>-0.0125338753387534</v>
      </c>
      <c r="H12" s="16">
        <f>(E12+F12-C12)/C12</f>
        <v>-1.02641509433962</v>
      </c>
      <c r="I12" s="16">
        <f>AVERAGE(H9:H12)</f>
        <v>-1.07585250443044</v>
      </c>
      <c r="J12" s="16"/>
    </row>
    <row r="13" ht="20.05" customHeight="1">
      <c r="B13" s="31"/>
      <c r="C13" s="17">
        <v>2962</v>
      </c>
      <c r="D13" s="18"/>
      <c r="E13" s="18">
        <v>83</v>
      </c>
      <c r="F13" s="18">
        <v>-102</v>
      </c>
      <c r="G13" s="16">
        <f>C13/C12-1</f>
        <v>0.0161234991423671</v>
      </c>
      <c r="H13" s="16">
        <f>(E13+F13-C13)/C13</f>
        <v>-1.00641458474004</v>
      </c>
      <c r="I13" s="16">
        <f>AVERAGE(H10:H13)</f>
        <v>-1.08412973291144</v>
      </c>
      <c r="J13" s="16"/>
    </row>
    <row r="14" ht="20.05" customHeight="1">
      <c r="B14" s="31"/>
      <c r="C14" s="17">
        <v>2408</v>
      </c>
      <c r="D14" s="18"/>
      <c r="E14" s="18">
        <v>83</v>
      </c>
      <c r="F14" s="18">
        <v>-74</v>
      </c>
      <c r="G14" s="16">
        <f>C14/C13-1</f>
        <v>-0.187035786630655</v>
      </c>
      <c r="H14" s="16">
        <f>(E14+F14-C14)/C14</f>
        <v>-0.996262458471761</v>
      </c>
      <c r="I14" s="16">
        <f>AVERAGE(H11:H14)</f>
        <v>-1.07227134062092</v>
      </c>
      <c r="J14" s="16"/>
    </row>
    <row r="15" ht="20.05" customHeight="1">
      <c r="B15" s="31"/>
      <c r="C15" s="17">
        <v>2407</v>
      </c>
      <c r="D15" s="18"/>
      <c r="E15" s="18">
        <v>83</v>
      </c>
      <c r="F15" s="18">
        <v>-562</v>
      </c>
      <c r="G15" s="16">
        <f>C15/C14-1</f>
        <v>-0.000415282392026578</v>
      </c>
      <c r="H15" s="16">
        <f>(E15+F15-C15)/C15</f>
        <v>-1.19900290818446</v>
      </c>
      <c r="I15" s="16">
        <f>AVERAGE(H12:H15)</f>
        <v>-1.05702376143397</v>
      </c>
      <c r="J15" s="16"/>
    </row>
    <row r="16" ht="20.05" customHeight="1">
      <c r="B16" s="32">
        <v>2019</v>
      </c>
      <c r="C16" s="17">
        <v>1993</v>
      </c>
      <c r="D16" s="18"/>
      <c r="E16" s="18">
        <f>64.6</f>
        <v>64.59999999999999</v>
      </c>
      <c r="F16" s="18">
        <v>-113</v>
      </c>
      <c r="G16" s="16">
        <f>C16/C15-1</f>
        <v>-0.171998338180307</v>
      </c>
      <c r="H16" s="16">
        <f>(E16+F16-C16)/C16</f>
        <v>-1.02428499749122</v>
      </c>
      <c r="I16" s="16">
        <f>AVERAGE(H13:H16)</f>
        <v>-1.05649123722187</v>
      </c>
      <c r="J16" s="16"/>
    </row>
    <row r="17" ht="20.05" customHeight="1">
      <c r="B17" s="31"/>
      <c r="C17" s="17">
        <v>2649</v>
      </c>
      <c r="D17" s="18"/>
      <c r="E17" s="18">
        <v>63</v>
      </c>
      <c r="F17" s="18">
        <v>-74</v>
      </c>
      <c r="G17" s="16">
        <f>C17/C16-1</f>
        <v>0.329152032112393</v>
      </c>
      <c r="H17" s="16">
        <f>(E17+F17-C17)/C17</f>
        <v>-1.00415251038128</v>
      </c>
      <c r="I17" s="16">
        <f>AVERAGE(H14:H17)</f>
        <v>-1.05592571863218</v>
      </c>
      <c r="J17" s="16"/>
    </row>
    <row r="18" ht="20.05" customHeight="1">
      <c r="B18" s="31"/>
      <c r="C18" s="17">
        <v>1999</v>
      </c>
      <c r="D18" s="18"/>
      <c r="E18" s="18">
        <v>63</v>
      </c>
      <c r="F18" s="18">
        <v>-79</v>
      </c>
      <c r="G18" s="16">
        <f>C18/C17-1</f>
        <v>-0.245375613439034</v>
      </c>
      <c r="H18" s="16">
        <f>(E18+F18-C18)/C18</f>
        <v>-1.008004002001</v>
      </c>
      <c r="I18" s="16">
        <f>AVERAGE(H15:H18)</f>
        <v>-1.05886110451449</v>
      </c>
      <c r="J18" s="16"/>
    </row>
    <row r="19" ht="20.05" customHeight="1">
      <c r="B19" s="31"/>
      <c r="C19" s="17">
        <v>2014</v>
      </c>
      <c r="D19" s="18"/>
      <c r="E19" s="18">
        <f>1.9</f>
        <v>1.9</v>
      </c>
      <c r="F19" s="18">
        <v>-287</v>
      </c>
      <c r="G19" s="16">
        <f>C19/C18-1</f>
        <v>0.00750375187593797</v>
      </c>
      <c r="H19" s="16">
        <f>(E19+F19-C19)/C19</f>
        <v>-1.14155908639523</v>
      </c>
      <c r="I19" s="16">
        <f>AVERAGE(H16:H19)</f>
        <v>-1.04450014906718</v>
      </c>
      <c r="J19" s="16"/>
    </row>
    <row r="20" ht="20.05" customHeight="1">
      <c r="B20" s="32">
        <v>2020</v>
      </c>
      <c r="C20" s="17">
        <v>1951</v>
      </c>
      <c r="D20" s="18"/>
      <c r="E20" s="18">
        <f>61.4+81.6+0.5</f>
        <v>143.5</v>
      </c>
      <c r="F20" s="18">
        <v>-100</v>
      </c>
      <c r="G20" s="16">
        <f>C20/C19-1</f>
        <v>-0.0312810327706058</v>
      </c>
      <c r="H20" s="16">
        <f>(E20+F20-C20)/C20</f>
        <v>-0.977703741670938</v>
      </c>
      <c r="I20" s="16">
        <f>AVERAGE(H17:H20)</f>
        <v>-1.03285483511211</v>
      </c>
      <c r="J20" s="16"/>
    </row>
    <row r="21" ht="20.05" customHeight="1">
      <c r="B21" s="31"/>
      <c r="C21" s="17">
        <v>1721</v>
      </c>
      <c r="D21" s="18"/>
      <c r="E21" s="18">
        <f>113+162.8+1-E20</f>
        <v>133.3</v>
      </c>
      <c r="F21" s="18">
        <v>-119</v>
      </c>
      <c r="G21" s="16">
        <f>C21/C20-1</f>
        <v>-0.117888262429523</v>
      </c>
      <c r="H21" s="16">
        <f>(E21+F21-C21)/C21</f>
        <v>-0.991690877396862</v>
      </c>
      <c r="I21" s="16">
        <f>AVERAGE(H18:H21)</f>
        <v>-1.02973942686601</v>
      </c>
      <c r="J21" s="16"/>
    </row>
    <row r="22" ht="20.05" customHeight="1">
      <c r="B22" s="31"/>
      <c r="C22" s="17">
        <v>1447</v>
      </c>
      <c r="D22" s="18"/>
      <c r="E22" s="18">
        <f>1.5+165+246.1-SUM(E20:E21)</f>
        <v>135.8</v>
      </c>
      <c r="F22" s="18">
        <v>-113</v>
      </c>
      <c r="G22" s="16">
        <f>C22/C21-1</f>
        <v>-0.159209761766415</v>
      </c>
      <c r="H22" s="16">
        <f>(E22+F22-C22)/C22</f>
        <v>-0.984243261921216</v>
      </c>
      <c r="I22" s="16">
        <f>AVERAGE(H19:H22)</f>
        <v>-1.02379924184606</v>
      </c>
      <c r="J22" s="16"/>
    </row>
    <row r="23" ht="20.05" customHeight="1">
      <c r="B23" s="31"/>
      <c r="C23" s="17">
        <f>6746.6-SUM(C20:C22)</f>
        <v>1627.6</v>
      </c>
      <c r="D23" s="18">
        <v>1591.7</v>
      </c>
      <c r="E23" s="18">
        <f>329.6+215.7+1.9-SUM(E20:E22)</f>
        <v>134.6</v>
      </c>
      <c r="F23" s="18">
        <f>-405.3-SUM(F20:F22)</f>
        <v>-73.3</v>
      </c>
      <c r="G23" s="16">
        <f>C23/C22-1</f>
        <v>0.12480995162405</v>
      </c>
      <c r="H23" s="16">
        <f>(E23+F23-C23)/C23</f>
        <v>-0.96233718358319</v>
      </c>
      <c r="I23" s="16">
        <f>AVERAGE(H20:H23)</f>
        <v>-0.978993766143052</v>
      </c>
      <c r="J23" s="16"/>
    </row>
    <row r="24" ht="20.05" customHeight="1">
      <c r="B24" s="32">
        <v>2021</v>
      </c>
      <c r="C24" s="17">
        <v>1546.9</v>
      </c>
      <c r="D24" s="18">
        <v>1703.119</v>
      </c>
      <c r="E24" s="18">
        <v>136.5</v>
      </c>
      <c r="F24" s="18">
        <v>-83.7</v>
      </c>
      <c r="G24" s="16">
        <f>C24/C23-1</f>
        <v>-0.0495822069304497</v>
      </c>
      <c r="H24" s="16">
        <f>(E24+F24-C24)/C24</f>
        <v>-0.965867218307583</v>
      </c>
      <c r="I24" s="16">
        <f>AVERAGE(H21:H24)</f>
        <v>-0.976034635302213</v>
      </c>
      <c r="J24" s="16"/>
    </row>
    <row r="25" ht="20.05" customHeight="1">
      <c r="B25" s="31"/>
      <c r="C25" s="17">
        <f>3547-C24</f>
        <v>2000.1</v>
      </c>
      <c r="D25" s="18">
        <v>1779</v>
      </c>
      <c r="E25" s="18">
        <v>136.5</v>
      </c>
      <c r="F25" s="18">
        <f>-91.5-F24</f>
        <v>-7.8</v>
      </c>
      <c r="G25" s="16">
        <f>C25/C24-1</f>
        <v>0.292973042859913</v>
      </c>
      <c r="H25" s="16">
        <f>(E25+F25-C25)/C25</f>
        <v>-0.935653217339133</v>
      </c>
      <c r="I25" s="16">
        <f>AVERAGE(H22:H25)</f>
        <v>-0.962025220287781</v>
      </c>
      <c r="J25" s="16"/>
    </row>
    <row r="26" ht="20.05" customHeight="1">
      <c r="B26" s="31"/>
      <c r="C26" s="17">
        <f>4935.7-SUM(C24:C25)</f>
        <v>1388.7</v>
      </c>
      <c r="D26" s="14">
        <v>1700.085</v>
      </c>
      <c r="E26" s="18">
        <f>256.4+143.4+1.1-SUM(E24:E25)</f>
        <v>127.9</v>
      </c>
      <c r="F26" s="18">
        <f>-172.4-SUM(F24:F25)</f>
        <v>-80.90000000000001</v>
      </c>
      <c r="G26" s="16">
        <f>C26/C25-1</f>
        <v>-0.305684715764212</v>
      </c>
      <c r="H26" s="16">
        <f>(E26+F26-C26)/C26</f>
        <v>-0.96615539713401</v>
      </c>
      <c r="I26" s="16">
        <f>AVERAGE(H23:H26)</f>
        <v>-0.957503254090979</v>
      </c>
      <c r="J26" s="16"/>
    </row>
    <row r="27" ht="20.05" customHeight="1">
      <c r="B27" s="31"/>
      <c r="C27" s="17">
        <f>6655.2-SUM(C24:C26)</f>
        <v>1719.5</v>
      </c>
      <c r="D27" s="14">
        <v>1527.57</v>
      </c>
      <c r="E27" s="18">
        <f>344.3+183.8+1.4-SUM(E24:E26)</f>
        <v>128.6</v>
      </c>
      <c r="F27" s="18">
        <f>-337.5-SUM(F24:F26)</f>
        <v>-165.1</v>
      </c>
      <c r="G27" s="16">
        <f>C27/C26-1</f>
        <v>0.238208396341902</v>
      </c>
      <c r="H27" s="16">
        <f>(E27+F27-C27)/C27</f>
        <v>-1.02122710090142</v>
      </c>
      <c r="I27" s="16">
        <f>AVERAGE(H24:H27)</f>
        <v>-0.972225733420537</v>
      </c>
      <c r="J27" s="16"/>
    </row>
    <row r="28" ht="20.05" customHeight="1">
      <c r="B28" s="32">
        <v>2022</v>
      </c>
      <c r="C28" s="17">
        <v>1688.9</v>
      </c>
      <c r="D28" s="18">
        <v>1736.695</v>
      </c>
      <c r="E28" s="18">
        <f>86.2+46.8+0.3</f>
        <v>133.3</v>
      </c>
      <c r="F28" s="18">
        <v>-109.2</v>
      </c>
      <c r="G28" s="16">
        <f>C28/C27-1</f>
        <v>-0.0177958708927014</v>
      </c>
      <c r="H28" s="16">
        <f>(E28+F28-C28)/C28</f>
        <v>-0.985730357037125</v>
      </c>
      <c r="I28" s="16">
        <f>AVERAGE(H25:H28)</f>
        <v>-0.977191518102922</v>
      </c>
      <c r="J28" s="16">
        <v>-0.957503254090979</v>
      </c>
    </row>
    <row r="29" ht="20.05" customHeight="1">
      <c r="B29" s="31"/>
      <c r="C29" s="17"/>
      <c r="D29" s="14">
        <f>'Model'!B5</f>
        <v>2111.125</v>
      </c>
      <c r="E29" s="18"/>
      <c r="F29" s="18"/>
      <c r="G29" s="16"/>
      <c r="H29" s="21"/>
      <c r="I29" s="16"/>
      <c r="J29" s="16">
        <f>'Model'!B6</f>
        <v>-0.957503254090979</v>
      </c>
    </row>
    <row r="30" ht="20.05" customHeight="1">
      <c r="B30" s="31"/>
      <c r="C30" s="17"/>
      <c r="D30" s="18">
        <f>'Model'!C5</f>
        <v>1794.45625</v>
      </c>
      <c r="E30" s="18"/>
      <c r="F30" s="18"/>
      <c r="G30" s="16"/>
      <c r="H30" s="16"/>
      <c r="I30" s="16"/>
      <c r="J30" s="16"/>
    </row>
    <row r="31" ht="20.05" customHeight="1">
      <c r="B31" s="31"/>
      <c r="C31" s="17"/>
      <c r="D31" s="18">
        <f>'Model'!D5</f>
        <v>2243.0703125</v>
      </c>
      <c r="E31" s="18">
        <f>SUM(C23:C28)</f>
        <v>9971.700000000001</v>
      </c>
      <c r="F31" s="18">
        <f>SUM(D23:D28)</f>
        <v>10038.169</v>
      </c>
      <c r="G31" s="16"/>
      <c r="H31" s="16"/>
      <c r="I31" s="16"/>
      <c r="J31" s="16"/>
    </row>
    <row r="32" ht="20.05" customHeight="1">
      <c r="B32" s="32">
        <v>2023</v>
      </c>
      <c r="C32" s="17"/>
      <c r="D32" s="18">
        <f>'Model'!E5</f>
        <v>2198.20890625</v>
      </c>
      <c r="E32" s="18"/>
      <c r="F32" s="18"/>
      <c r="G32" s="16"/>
      <c r="H32" s="16"/>
      <c r="I32" s="16"/>
      <c r="J32" s="16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75" style="33" customWidth="1"/>
    <col min="2" max="16" width="11.0703" style="33" customWidth="1"/>
    <col min="17" max="16384" width="16.3516" style="33" customWidth="1"/>
  </cols>
  <sheetData>
    <row r="1" ht="8.4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45</v>
      </c>
      <c r="D3" t="s" s="5">
        <v>8</v>
      </c>
      <c r="E3" t="s" s="5">
        <v>9</v>
      </c>
      <c r="F3" t="s" s="5">
        <v>46</v>
      </c>
      <c r="G3" t="s" s="5">
        <v>47</v>
      </c>
      <c r="H3" t="s" s="5">
        <v>12</v>
      </c>
      <c r="I3" t="s" s="5">
        <v>15</v>
      </c>
      <c r="J3" t="s" s="5">
        <v>11</v>
      </c>
      <c r="K3" t="s" s="5">
        <v>48</v>
      </c>
      <c r="L3" t="s" s="5">
        <v>3</v>
      </c>
      <c r="M3" t="s" s="5">
        <v>35</v>
      </c>
      <c r="N3" t="s" s="5">
        <v>29</v>
      </c>
      <c r="O3" t="s" s="5">
        <v>35</v>
      </c>
      <c r="P3" s="34"/>
    </row>
    <row r="4" ht="20.25" customHeight="1">
      <c r="B4" s="27">
        <v>2016</v>
      </c>
      <c r="C4" s="28">
        <v>3271</v>
      </c>
      <c r="D4" s="29">
        <v>181</v>
      </c>
      <c r="E4" s="29">
        <v>-120</v>
      </c>
      <c r="F4" s="29">
        <v>-17.2</v>
      </c>
      <c r="G4" s="29"/>
      <c r="H4" s="29"/>
      <c r="I4" s="29"/>
      <c r="J4" s="29">
        <v>-156</v>
      </c>
      <c r="K4" s="29">
        <f>D4+E4</f>
        <v>61</v>
      </c>
      <c r="L4" s="29"/>
      <c r="M4" s="29"/>
      <c r="N4" s="29">
        <f>-(J4-G4-F4)</f>
        <v>138.8</v>
      </c>
      <c r="O4" s="29"/>
      <c r="P4" s="29">
        <v>1</v>
      </c>
    </row>
    <row r="5" ht="20.05" customHeight="1">
      <c r="B5" s="31"/>
      <c r="C5" s="17">
        <v>3717</v>
      </c>
      <c r="D5" s="18">
        <v>379</v>
      </c>
      <c r="E5" s="18">
        <v>-257</v>
      </c>
      <c r="F5" s="18">
        <v>-19.8</v>
      </c>
      <c r="G5" s="18"/>
      <c r="H5" s="18"/>
      <c r="I5" s="18"/>
      <c r="J5" s="18">
        <v>-17</v>
      </c>
      <c r="K5" s="18">
        <f>D5+E5+G5+F5</f>
        <v>102.2</v>
      </c>
      <c r="L5" s="18"/>
      <c r="M5" s="18"/>
      <c r="N5" s="18">
        <f>-(J5-G5-F5)+N4</f>
        <v>136</v>
      </c>
      <c r="O5" s="18"/>
      <c r="P5" s="18">
        <f>1+P4</f>
        <v>2</v>
      </c>
    </row>
    <row r="6" ht="20.05" customHeight="1">
      <c r="B6" s="31"/>
      <c r="C6" s="17">
        <v>3400</v>
      </c>
      <c r="D6" s="18">
        <v>-127</v>
      </c>
      <c r="E6" s="18">
        <v>-119</v>
      </c>
      <c r="F6" s="18">
        <v>-23.3</v>
      </c>
      <c r="G6" s="18"/>
      <c r="H6" s="18"/>
      <c r="I6" s="18"/>
      <c r="J6" s="18">
        <v>88</v>
      </c>
      <c r="K6" s="18">
        <f>D6+E6+G6+F6</f>
        <v>-269.3</v>
      </c>
      <c r="L6" s="18"/>
      <c r="M6" s="18"/>
      <c r="N6" s="18">
        <f>-(J6-G6-F6)+N5</f>
        <v>24.7</v>
      </c>
      <c r="O6" s="18"/>
      <c r="P6" s="18">
        <f>1+P5</f>
        <v>3</v>
      </c>
    </row>
    <row r="7" ht="20.05" customHeight="1">
      <c r="B7" s="31"/>
      <c r="C7" s="17">
        <v>3119</v>
      </c>
      <c r="D7" s="18">
        <v>150</v>
      </c>
      <c r="E7" s="18">
        <v>-132</v>
      </c>
      <c r="F7" s="18">
        <v>-22</v>
      </c>
      <c r="G7" s="18"/>
      <c r="H7" s="18"/>
      <c r="I7" s="18"/>
      <c r="J7" s="18">
        <v>-30</v>
      </c>
      <c r="K7" s="18">
        <f>D7+E7+G7+F7</f>
        <v>-4</v>
      </c>
      <c r="L7" s="18"/>
      <c r="M7" s="18"/>
      <c r="N7" s="18">
        <f>-(J7-G7-F7)+N6</f>
        <v>32.7</v>
      </c>
      <c r="O7" s="18"/>
      <c r="P7" s="18">
        <f>1+P6</f>
        <v>4</v>
      </c>
    </row>
    <row r="8" ht="20.05" customHeight="1">
      <c r="B8" s="32">
        <v>2017</v>
      </c>
      <c r="C8" s="17">
        <v>3127</v>
      </c>
      <c r="D8" s="18">
        <v>48</v>
      </c>
      <c r="E8" s="18">
        <v>-70</v>
      </c>
      <c r="F8" s="18">
        <v>-21.5</v>
      </c>
      <c r="G8" s="18"/>
      <c r="H8" s="18"/>
      <c r="I8" s="18"/>
      <c r="J8" s="18">
        <v>-21</v>
      </c>
      <c r="K8" s="18">
        <f>D8+E8+G8+F8</f>
        <v>-43.5</v>
      </c>
      <c r="L8" s="18">
        <f>AVERAGE(K5:K8)</f>
        <v>-53.65</v>
      </c>
      <c r="M8" s="18"/>
      <c r="N8" s="18">
        <f>-(J8-G8-F8)+N7</f>
        <v>32.2</v>
      </c>
      <c r="O8" s="18"/>
      <c r="P8" s="18">
        <f>1+P7</f>
        <v>5</v>
      </c>
    </row>
    <row r="9" ht="20.05" customHeight="1">
      <c r="B9" s="31"/>
      <c r="C9" s="17">
        <v>3607</v>
      </c>
      <c r="D9" s="18">
        <v>443</v>
      </c>
      <c r="E9" s="18">
        <v>-193</v>
      </c>
      <c r="F9" s="18">
        <v>-27.2</v>
      </c>
      <c r="G9" s="18"/>
      <c r="H9" s="18"/>
      <c r="I9" s="18"/>
      <c r="J9" s="18">
        <v>96</v>
      </c>
      <c r="K9" s="18">
        <f>D9+E9+G9+F9</f>
        <v>222.8</v>
      </c>
      <c r="L9" s="18">
        <f>AVERAGE(K6:K9)</f>
        <v>-23.5</v>
      </c>
      <c r="M9" s="18"/>
      <c r="N9" s="18">
        <f>-(J9-G9-F9)+N8</f>
        <v>-91</v>
      </c>
      <c r="O9" s="18"/>
      <c r="P9" s="18">
        <f>1+P8</f>
        <v>6</v>
      </c>
    </row>
    <row r="10" ht="20.05" customHeight="1">
      <c r="B10" s="31"/>
      <c r="C10" s="17">
        <v>2886</v>
      </c>
      <c r="D10" s="18">
        <v>-723</v>
      </c>
      <c r="E10" s="18">
        <v>-71</v>
      </c>
      <c r="F10" s="18">
        <v>-33.2</v>
      </c>
      <c r="G10" s="18"/>
      <c r="H10" s="18"/>
      <c r="I10" s="18"/>
      <c r="J10" s="18">
        <v>399</v>
      </c>
      <c r="K10" s="18">
        <f>D10+E10+G10+F10</f>
        <v>-827.2</v>
      </c>
      <c r="L10" s="18">
        <f>AVERAGE(K7:K10)</f>
        <v>-162.975</v>
      </c>
      <c r="M10" s="18"/>
      <c r="N10" s="18">
        <f>-(J10-G10-F10)+N9</f>
        <v>-523.2</v>
      </c>
      <c r="O10" s="18"/>
      <c r="P10" s="18">
        <f>1+P9</f>
        <v>7</v>
      </c>
    </row>
    <row r="11" ht="20.05" customHeight="1">
      <c r="B11" s="31"/>
      <c r="C11" s="17">
        <v>2921</v>
      </c>
      <c r="D11" s="18">
        <v>89</v>
      </c>
      <c r="E11" s="18">
        <v>-42</v>
      </c>
      <c r="F11" s="18">
        <v>-23</v>
      </c>
      <c r="G11" s="18"/>
      <c r="H11" s="18"/>
      <c r="I11" s="18"/>
      <c r="J11" s="18">
        <v>169</v>
      </c>
      <c r="K11" s="18">
        <f>D11+E11+G11+F11</f>
        <v>24</v>
      </c>
      <c r="L11" s="18">
        <f>AVERAGE(K8:K11)</f>
        <v>-155.975</v>
      </c>
      <c r="M11" s="18"/>
      <c r="N11" s="18">
        <f>-(J11-G11-F11)+N10</f>
        <v>-715.2</v>
      </c>
      <c r="O11" s="18"/>
      <c r="P11" s="18">
        <f>1+P10</f>
        <v>8</v>
      </c>
    </row>
    <row r="12" ht="20.05" customHeight="1">
      <c r="B12" s="32">
        <v>2018</v>
      </c>
      <c r="C12" s="17">
        <v>2944</v>
      </c>
      <c r="D12" s="18">
        <v>-89</v>
      </c>
      <c r="E12" s="18">
        <v>-19</v>
      </c>
      <c r="F12" s="18">
        <v>-38.1</v>
      </c>
      <c r="G12" s="18"/>
      <c r="H12" s="18"/>
      <c r="I12" s="18"/>
      <c r="J12" s="18">
        <v>-34</v>
      </c>
      <c r="K12" s="18">
        <f>D12+E12+G12+F12</f>
        <v>-146.1</v>
      </c>
      <c r="L12" s="18">
        <f>AVERAGE(K9:K12)</f>
        <v>-181.625</v>
      </c>
      <c r="M12" s="18"/>
      <c r="N12" s="18">
        <f>-(J12-G12-F12)+N11</f>
        <v>-719.3</v>
      </c>
      <c r="O12" s="18"/>
      <c r="P12" s="18">
        <f>1+P11</f>
        <v>9</v>
      </c>
    </row>
    <row r="13" ht="20.05" customHeight="1">
      <c r="B13" s="31"/>
      <c r="C13" s="17">
        <v>2975</v>
      </c>
      <c r="D13" s="18">
        <v>104</v>
      </c>
      <c r="E13" s="18">
        <v>-25</v>
      </c>
      <c r="F13" s="18">
        <v>-48.4</v>
      </c>
      <c r="G13" s="18"/>
      <c r="H13" s="18"/>
      <c r="I13" s="18"/>
      <c r="J13" s="18">
        <v>-41</v>
      </c>
      <c r="K13" s="18">
        <f>D13+E13+G13+F13</f>
        <v>30.6</v>
      </c>
      <c r="L13" s="18">
        <f>AVERAGE(K10:K13)</f>
        <v>-229.675</v>
      </c>
      <c r="M13" s="18"/>
      <c r="N13" s="18">
        <f>-(J13-G13-F13)+N12</f>
        <v>-726.7</v>
      </c>
      <c r="O13" s="18"/>
      <c r="P13" s="18">
        <f>1+P12</f>
        <v>10</v>
      </c>
    </row>
    <row r="14" ht="20.05" customHeight="1">
      <c r="B14" s="31"/>
      <c r="C14" s="17">
        <v>2388</v>
      </c>
      <c r="D14" s="18">
        <v>-360</v>
      </c>
      <c r="E14" s="18">
        <v>-14</v>
      </c>
      <c r="F14" s="18">
        <v>-47.6</v>
      </c>
      <c r="G14" s="18"/>
      <c r="H14" s="18"/>
      <c r="I14" s="18"/>
      <c r="J14" s="18">
        <v>438</v>
      </c>
      <c r="K14" s="18">
        <f>D14+E14+G14+F14</f>
        <v>-421.6</v>
      </c>
      <c r="L14" s="18">
        <f>AVERAGE(K11:K14)</f>
        <v>-128.275</v>
      </c>
      <c r="M14" s="18"/>
      <c r="N14" s="18">
        <f>-(J14-G14-F14)+N13</f>
        <v>-1212.3</v>
      </c>
      <c r="O14" s="18"/>
      <c r="P14" s="18">
        <f>1+P13</f>
        <v>11</v>
      </c>
    </row>
    <row r="15" ht="20.05" customHeight="1">
      <c r="B15" s="31"/>
      <c r="C15" s="17">
        <v>2434</v>
      </c>
      <c r="D15" s="18">
        <v>90</v>
      </c>
      <c r="E15" s="18">
        <v>-22</v>
      </c>
      <c r="F15" s="18">
        <v>-28.8</v>
      </c>
      <c r="G15" s="18"/>
      <c r="H15" s="18"/>
      <c r="I15" s="18"/>
      <c r="J15" s="18">
        <v>-51</v>
      </c>
      <c r="K15" s="18">
        <f>D15+E15+G15+F15</f>
        <v>39.2</v>
      </c>
      <c r="L15" s="18">
        <f>AVERAGE(K12:K15)</f>
        <v>-124.475</v>
      </c>
      <c r="M15" s="18"/>
      <c r="N15" s="18">
        <f>-(J15-G15-F15)+N14</f>
        <v>-1190.1</v>
      </c>
      <c r="O15" s="18"/>
      <c r="P15" s="18">
        <f>1+P14</f>
        <v>12</v>
      </c>
    </row>
    <row r="16" ht="20.05" customHeight="1">
      <c r="B16" s="32">
        <v>2019</v>
      </c>
      <c r="C16" s="17">
        <v>1965</v>
      </c>
      <c r="D16" s="18">
        <v>-126</v>
      </c>
      <c r="E16" s="18">
        <v>-24</v>
      </c>
      <c r="F16" s="18">
        <v>-33.8</v>
      </c>
      <c r="G16" s="18"/>
      <c r="H16" s="18"/>
      <c r="I16" s="18"/>
      <c r="J16" s="18">
        <v>-31</v>
      </c>
      <c r="K16" s="18">
        <f>D16+E16+G16+F16</f>
        <v>-183.8</v>
      </c>
      <c r="L16" s="18">
        <f>AVERAGE(K13:K16)</f>
        <v>-133.9</v>
      </c>
      <c r="M16" s="18"/>
      <c r="N16" s="18">
        <f>-(J16-G16-F16)+N15</f>
        <v>-1192.9</v>
      </c>
      <c r="O16" s="18"/>
      <c r="P16" s="18">
        <f>1+P15</f>
        <v>13</v>
      </c>
    </row>
    <row r="17" ht="20.05" customHeight="1">
      <c r="B17" s="31"/>
      <c r="C17" s="17">
        <v>2638</v>
      </c>
      <c r="D17" s="18">
        <v>282</v>
      </c>
      <c r="E17" s="18">
        <v>-32</v>
      </c>
      <c r="F17" s="18">
        <v>-44.7</v>
      </c>
      <c r="G17" s="18"/>
      <c r="H17" s="18"/>
      <c r="I17" s="18"/>
      <c r="J17" s="18">
        <v>-241</v>
      </c>
      <c r="K17" s="18">
        <f>D17+E17+G17+F17</f>
        <v>205.3</v>
      </c>
      <c r="L17" s="18">
        <f>AVERAGE(K14:K17)</f>
        <v>-90.22499999999999</v>
      </c>
      <c r="M17" s="18"/>
      <c r="N17" s="18">
        <f>-(J17-G17-F17)+N16</f>
        <v>-996.6</v>
      </c>
      <c r="O17" s="18"/>
      <c r="P17" s="18">
        <f>1+P16</f>
        <v>14</v>
      </c>
    </row>
    <row r="18" ht="20.05" customHeight="1">
      <c r="B18" s="31"/>
      <c r="C18" s="17">
        <v>2031</v>
      </c>
      <c r="D18" s="18">
        <v>67</v>
      </c>
      <c r="E18" s="18">
        <v>-34</v>
      </c>
      <c r="F18" s="18">
        <v>-26.3</v>
      </c>
      <c r="G18" s="18"/>
      <c r="H18" s="18"/>
      <c r="I18" s="18"/>
      <c r="J18" s="18">
        <v>-74</v>
      </c>
      <c r="K18" s="18">
        <f>D18+E18+G18+F18</f>
        <v>6.7</v>
      </c>
      <c r="L18" s="18">
        <f>AVERAGE(K15:K18)</f>
        <v>16.85</v>
      </c>
      <c r="M18" s="18"/>
      <c r="N18" s="18">
        <f>-(J18-G18-F18)+N17</f>
        <v>-948.9</v>
      </c>
      <c r="O18" s="18"/>
      <c r="P18" s="18">
        <f>1+P17</f>
        <v>15</v>
      </c>
    </row>
    <row r="19" ht="20.05" customHeight="1">
      <c r="B19" s="31"/>
      <c r="C19" s="17">
        <v>2012</v>
      </c>
      <c r="D19" s="18">
        <v>227</v>
      </c>
      <c r="E19" s="18">
        <v>-33</v>
      </c>
      <c r="F19" s="18">
        <v>-27.9</v>
      </c>
      <c r="G19" s="18"/>
      <c r="H19" s="18"/>
      <c r="I19" s="18"/>
      <c r="J19" s="18">
        <v>-26</v>
      </c>
      <c r="K19" s="18">
        <f>D19+E19+G19+F19</f>
        <v>166.1</v>
      </c>
      <c r="L19" s="18">
        <f>AVERAGE(K16:K19)</f>
        <v>48.575</v>
      </c>
      <c r="M19" s="18"/>
      <c r="N19" s="18">
        <f>-(J19-G19-F19)+N18</f>
        <v>-950.8</v>
      </c>
      <c r="O19" s="18"/>
      <c r="P19" s="18">
        <f>1+P18</f>
        <v>16</v>
      </c>
    </row>
    <row r="20" ht="20.05" customHeight="1">
      <c r="B20" s="32">
        <v>2020</v>
      </c>
      <c r="C20" s="17">
        <v>1960</v>
      </c>
      <c r="D20" s="18">
        <v>-50</v>
      </c>
      <c r="E20" s="18">
        <v>-34</v>
      </c>
      <c r="F20" s="18">
        <f>-26.9+1.9</f>
        <v>-25</v>
      </c>
      <c r="G20" s="18">
        <v>-87</v>
      </c>
      <c r="H20" s="18">
        <f>J20-I20-G20-F20</f>
        <v>43</v>
      </c>
      <c r="I20" s="18">
        <v>0</v>
      </c>
      <c r="J20" s="18">
        <v>-69</v>
      </c>
      <c r="K20" s="18">
        <f>D20+E20+G20+F20</f>
        <v>-196</v>
      </c>
      <c r="L20" s="18">
        <f>AVERAGE(K17:K20)</f>
        <v>45.525</v>
      </c>
      <c r="M20" s="18"/>
      <c r="N20" s="18">
        <f>-(J20-G20-F20)+N19</f>
        <v>-993.8</v>
      </c>
      <c r="O20" s="18"/>
      <c r="P20" s="18">
        <f>1+P19</f>
        <v>17</v>
      </c>
    </row>
    <row r="21" ht="20.05" customHeight="1">
      <c r="B21" s="31"/>
      <c r="C21" s="17">
        <v>1727</v>
      </c>
      <c r="D21" s="18">
        <v>-38</v>
      </c>
      <c r="E21" s="18">
        <v>-22</v>
      </c>
      <c r="F21" s="18">
        <f>-141.7+4-F20</f>
        <v>-112.7</v>
      </c>
      <c r="G21" s="18">
        <f>-91.6-G20</f>
        <v>-4.6</v>
      </c>
      <c r="H21" s="18">
        <f>J21-I21-G21-F21</f>
        <v>191.3</v>
      </c>
      <c r="I21" s="18">
        <v>0</v>
      </c>
      <c r="J21" s="18">
        <v>74</v>
      </c>
      <c r="K21" s="18">
        <f>D21+E21+G21+F21</f>
        <v>-177.3</v>
      </c>
      <c r="L21" s="18">
        <f>AVERAGE(K18:K21)</f>
        <v>-50.125</v>
      </c>
      <c r="M21" s="18"/>
      <c r="N21" s="18">
        <f>-(J21-G21-F21)+N20</f>
        <v>-1185.1</v>
      </c>
      <c r="O21" s="18"/>
      <c r="P21" s="18">
        <f>1+P20</f>
        <v>18</v>
      </c>
    </row>
    <row r="22" ht="20.05" customHeight="1">
      <c r="B22" s="31"/>
      <c r="C22" s="17">
        <v>1443</v>
      </c>
      <c r="D22" s="18">
        <v>267</v>
      </c>
      <c r="E22" s="18">
        <v>-13</v>
      </c>
      <c r="F22" s="18">
        <f>-210.5+5.1-SUM(F20:F21)</f>
        <v>-67.7</v>
      </c>
      <c r="G22" s="18">
        <f>-141.1-SUM(G20:G21)</f>
        <v>-49.5</v>
      </c>
      <c r="H22" s="18">
        <f>J22-I22-G22-F22</f>
        <v>-157.8</v>
      </c>
      <c r="I22" s="18">
        <v>0</v>
      </c>
      <c r="J22" s="18">
        <v>-275</v>
      </c>
      <c r="K22" s="18">
        <f>D22+E22+G22+F22</f>
        <v>136.8</v>
      </c>
      <c r="L22" s="18">
        <f>AVERAGE(K19:K22)</f>
        <v>-17.6</v>
      </c>
      <c r="M22" s="18"/>
      <c r="N22" s="18">
        <f>-(J22-G22-F22)+N21</f>
        <v>-1027.3</v>
      </c>
      <c r="O22" s="18"/>
      <c r="P22" s="18">
        <f>1+P21</f>
        <v>19</v>
      </c>
    </row>
    <row r="23" ht="20.05" customHeight="1">
      <c r="B23" s="31"/>
      <c r="C23" s="17">
        <f>6742.5-SUM(C20:C22)</f>
        <v>1612.5</v>
      </c>
      <c r="D23" s="18">
        <f>475.6-SUM(D20:D22)</f>
        <v>296.6</v>
      </c>
      <c r="E23" s="18">
        <f>-77.1-SUM(E20:E22)</f>
        <v>-8.1</v>
      </c>
      <c r="F23" s="18">
        <f>-276.1+6.3-SUM(F20:F22)</f>
        <v>-64.40000000000001</v>
      </c>
      <c r="G23" s="18">
        <f>-193.3-SUM(G20:G22)</f>
        <v>-52.2</v>
      </c>
      <c r="H23" s="18">
        <f>J23-I23-G23-F23</f>
        <v>-16.5</v>
      </c>
      <c r="I23" s="18">
        <v>0</v>
      </c>
      <c r="J23" s="18">
        <f>-403.1-SUM(J20:J22)</f>
        <v>-133.1</v>
      </c>
      <c r="K23" s="18">
        <f>D23+E23+G23+F23</f>
        <v>171.9</v>
      </c>
      <c r="L23" s="18">
        <f>AVERAGE(K20:K23)</f>
        <v>-16.15</v>
      </c>
      <c r="M23" s="18"/>
      <c r="N23" s="18">
        <f>-(J23-G23-F23)+N22</f>
        <v>-1010.8</v>
      </c>
      <c r="O23" s="18"/>
      <c r="P23" s="18">
        <f>1+P22</f>
        <v>20</v>
      </c>
    </row>
    <row r="24" ht="20.05" customHeight="1">
      <c r="B24" s="32">
        <v>2021</v>
      </c>
      <c r="C24" s="17">
        <v>1563.3</v>
      </c>
      <c r="D24" s="18">
        <v>11.5</v>
      </c>
      <c r="E24" s="18">
        <v>-8.6</v>
      </c>
      <c r="F24" s="18">
        <f>-23.6+1.3</f>
        <v>-22.3</v>
      </c>
      <c r="G24" s="18">
        <v>-96.7</v>
      </c>
      <c r="H24" s="18">
        <f>J24-I24-G24-F24</f>
        <v>40</v>
      </c>
      <c r="I24" s="18">
        <v>0</v>
      </c>
      <c r="J24" s="18">
        <v>-79</v>
      </c>
      <c r="K24" s="18">
        <f>D24+E24+G24+F24</f>
        <v>-116.1</v>
      </c>
      <c r="L24" s="18">
        <f>AVERAGE(K21:K24)</f>
        <v>3.825</v>
      </c>
      <c r="M24" s="18"/>
      <c r="N24" s="18">
        <f>-(J24-G24-F24)+N23</f>
        <v>-1050.8</v>
      </c>
      <c r="O24" s="18"/>
      <c r="P24" s="18">
        <f>1+P23</f>
        <v>21</v>
      </c>
    </row>
    <row r="25" ht="20.05" customHeight="1">
      <c r="B25" s="31"/>
      <c r="C25" s="17">
        <f>3560-C24</f>
        <v>1996.7</v>
      </c>
      <c r="D25" s="18">
        <f>324-D24</f>
        <v>312.5</v>
      </c>
      <c r="E25" s="18">
        <f>-9.6-E24</f>
        <v>-1</v>
      </c>
      <c r="F25" s="18">
        <f>-131.2+3.1-F24</f>
        <v>-105.8</v>
      </c>
      <c r="G25" s="18">
        <f>-115.7-G24</f>
        <v>-19</v>
      </c>
      <c r="H25" s="18">
        <f>J25-I25-G25-F25</f>
        <v>-250.2</v>
      </c>
      <c r="I25" s="18">
        <v>0</v>
      </c>
      <c r="J25" s="18">
        <f>-454-J24</f>
        <v>-375</v>
      </c>
      <c r="K25" s="18">
        <f>D25+E25+G25+F25</f>
        <v>186.7</v>
      </c>
      <c r="L25" s="18">
        <f>AVERAGE(K22:K25)</f>
        <v>94.825</v>
      </c>
      <c r="M25" s="18"/>
      <c r="N25" s="18">
        <f>-(J25-G25-F25)+N24</f>
        <v>-800.6</v>
      </c>
      <c r="O25" s="18"/>
      <c r="P25" s="18">
        <f>1+P24</f>
        <v>22</v>
      </c>
    </row>
    <row r="26" ht="20.05" customHeight="1">
      <c r="B26" s="31"/>
      <c r="C26" s="17">
        <f>4951.6-SUM(C24:C25)</f>
        <v>1391.6</v>
      </c>
      <c r="D26" s="18">
        <f>451.1-SUM(D24:D25)</f>
        <v>127.1</v>
      </c>
      <c r="E26" s="18">
        <f>-43.4-SUM(E24:E25)</f>
        <v>-33.8</v>
      </c>
      <c r="F26" s="18">
        <f>-191.3+3.9-SUM(F24:F25)</f>
        <v>-59.3</v>
      </c>
      <c r="G26" s="18">
        <f>-177-SUM(G24:G25)</f>
        <v>-61.3</v>
      </c>
      <c r="H26" s="18">
        <f>J26-I26-G26-F26</f>
        <v>0.2</v>
      </c>
      <c r="I26" s="18">
        <v>0</v>
      </c>
      <c r="J26" s="18">
        <f>-574.4-SUM(J24:J25)</f>
        <v>-120.4</v>
      </c>
      <c r="K26" s="18">
        <f>D26+E26+G26+F26</f>
        <v>-27.3</v>
      </c>
      <c r="L26" s="18">
        <f>AVERAGE(K23:K26)</f>
        <v>53.8</v>
      </c>
      <c r="M26" s="18"/>
      <c r="N26" s="18">
        <f>-(J26-G26-F26)+N25</f>
        <v>-800.8</v>
      </c>
      <c r="O26" s="18"/>
      <c r="P26" s="18">
        <f>1+P25</f>
        <v>23</v>
      </c>
    </row>
    <row r="27" ht="20.05" customHeight="1">
      <c r="B27" s="31"/>
      <c r="C27" s="17">
        <f>6658.1-SUM(C24:C26)</f>
        <v>1706.5</v>
      </c>
      <c r="D27" s="18">
        <f>411.7-SUM(D24:D26)</f>
        <v>-39.4</v>
      </c>
      <c r="E27" s="18">
        <f>-26.3-SUM(E24:E26)</f>
        <v>17.1</v>
      </c>
      <c r="F27" s="18">
        <f>-253.1+5.3-SUM(F24:F26)</f>
        <v>-60.4</v>
      </c>
      <c r="G27" s="18">
        <f>-241.3-SUM(G24:G26)</f>
        <v>-64.3</v>
      </c>
      <c r="H27" s="18">
        <f>J27-I27-G27-F27</f>
        <v>49.9</v>
      </c>
      <c r="I27" s="18">
        <f>720.9-4.5-SUM(I24:I26)</f>
        <v>716.4</v>
      </c>
      <c r="J27" s="18">
        <f>67.2-SUM(J24:J26)</f>
        <v>641.6</v>
      </c>
      <c r="K27" s="18">
        <f>D27+E27+G27+F27</f>
        <v>-147</v>
      </c>
      <c r="L27" s="18">
        <f>AVERAGE(K24:K27)</f>
        <v>-25.925</v>
      </c>
      <c r="M27" s="18"/>
      <c r="N27" s="18">
        <f>-(J27-G27-F27)+N26</f>
        <v>-1567.1</v>
      </c>
      <c r="O27" s="18"/>
      <c r="P27" s="18">
        <f>1+P26</f>
        <v>24</v>
      </c>
    </row>
    <row r="28" ht="20.05" customHeight="1">
      <c r="B28" s="32">
        <v>2022</v>
      </c>
      <c r="C28" s="17">
        <v>1692.8</v>
      </c>
      <c r="D28" s="18">
        <v>-167.8</v>
      </c>
      <c r="E28" s="18">
        <v>-17.3</v>
      </c>
      <c r="F28" s="18">
        <f>-48.3+1.8</f>
        <v>-46.5</v>
      </c>
      <c r="G28" s="18">
        <v>-73</v>
      </c>
      <c r="H28" s="18">
        <v>-100</v>
      </c>
      <c r="I28" s="18">
        <v>0</v>
      </c>
      <c r="J28" s="18">
        <v>-219.6</v>
      </c>
      <c r="K28" s="18">
        <f>D28+E28+G28+F28</f>
        <v>-304.6</v>
      </c>
      <c r="L28" s="18">
        <f>AVERAGE(K25:K28)</f>
        <v>-73.05</v>
      </c>
      <c r="M28" s="18">
        <v>31.120786275</v>
      </c>
      <c r="N28" s="18">
        <f>-(J28-G28-F28)+N27</f>
        <v>-1467</v>
      </c>
      <c r="O28" s="18">
        <v>-1492.203840897950</v>
      </c>
      <c r="P28" s="18">
        <f>1+P27</f>
        <v>25</v>
      </c>
    </row>
    <row r="29" ht="20.05" customHeight="1">
      <c r="B29" s="31"/>
      <c r="C29" s="17"/>
      <c r="D29" s="18"/>
      <c r="E29" s="18"/>
      <c r="F29" s="18"/>
      <c r="G29" s="18"/>
      <c r="H29" s="18"/>
      <c r="I29" s="18"/>
      <c r="J29" s="18"/>
      <c r="K29" s="18"/>
      <c r="L29" s="21"/>
      <c r="M29" s="18">
        <f>SUM('Model'!E8:E10)</f>
        <v>30.266725343850</v>
      </c>
      <c r="N29" s="21"/>
      <c r="O29" s="18">
        <f>'Model'!E33</f>
        <v>-1147.285591521490</v>
      </c>
      <c r="P29" s="18"/>
    </row>
  </sheetData>
  <mergeCells count="1">
    <mergeCell ref="B2:P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5781" style="35" customWidth="1"/>
    <col min="2" max="11" width="9.46875" style="35" customWidth="1"/>
    <col min="12" max="16384" width="16.3516" style="35" customWidth="1"/>
  </cols>
  <sheetData>
    <row r="1" ht="20.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26</v>
      </c>
      <c r="J3" t="s" s="5">
        <v>27</v>
      </c>
      <c r="K3" t="s" s="5">
        <v>35</v>
      </c>
    </row>
    <row r="4" ht="20.25" customHeight="1">
      <c r="B4" s="27">
        <v>2016</v>
      </c>
      <c r="C4" s="28">
        <v>314</v>
      </c>
      <c r="D4" s="29">
        <v>6059</v>
      </c>
      <c r="E4" s="29">
        <f>D4-C4</f>
        <v>5745</v>
      </c>
      <c r="F4" s="29">
        <f>'Sales'!E4</f>
        <v>86.75</v>
      </c>
      <c r="G4" s="29">
        <v>3406</v>
      </c>
      <c r="H4" s="29">
        <v>2653</v>
      </c>
      <c r="I4" s="29">
        <f>G4+H4-C4-E4</f>
        <v>0</v>
      </c>
      <c r="J4" s="29">
        <f>C4-G4</f>
        <v>-3092</v>
      </c>
      <c r="K4" s="29"/>
    </row>
    <row r="5" ht="20.05" customHeight="1">
      <c r="B5" s="31"/>
      <c r="C5" s="17">
        <v>418</v>
      </c>
      <c r="D5" s="18">
        <v>7174</v>
      </c>
      <c r="E5" s="18">
        <f>D5-C5</f>
        <v>6756</v>
      </c>
      <c r="F5" s="18">
        <f>F4+'Sales'!E5</f>
        <v>173.5</v>
      </c>
      <c r="G5" s="18">
        <v>4559</v>
      </c>
      <c r="H5" s="18">
        <v>2615</v>
      </c>
      <c r="I5" s="18">
        <f>G5+H5-C5-E5</f>
        <v>0</v>
      </c>
      <c r="J5" s="18">
        <f>C5-G5</f>
        <v>-4141</v>
      </c>
      <c r="K5" s="18"/>
    </row>
    <row r="6" ht="20.05" customHeight="1">
      <c r="B6" s="31"/>
      <c r="C6" s="17">
        <v>262</v>
      </c>
      <c r="D6" s="18">
        <v>6462</v>
      </c>
      <c r="E6" s="18">
        <f>D6-C6</f>
        <v>6200</v>
      </c>
      <c r="F6" s="18">
        <f>F5+'Sales'!E6</f>
        <v>260.25</v>
      </c>
      <c r="G6" s="18">
        <v>4055</v>
      </c>
      <c r="H6" s="18">
        <v>2407</v>
      </c>
      <c r="I6" s="18">
        <f>G6+H6-C6-E6</f>
        <v>0</v>
      </c>
      <c r="J6" s="18">
        <f>C6-G6</f>
        <v>-3793</v>
      </c>
      <c r="K6" s="18"/>
    </row>
    <row r="7" ht="20.05" customHeight="1">
      <c r="B7" s="31"/>
      <c r="C7" s="17">
        <v>249</v>
      </c>
      <c r="D7" s="18">
        <v>6702</v>
      </c>
      <c r="E7" s="18">
        <f>D7-C7</f>
        <v>6453</v>
      </c>
      <c r="F7" s="18">
        <f>F6+'Sales'!E7</f>
        <v>347</v>
      </c>
      <c r="G7" s="18">
        <v>4272</v>
      </c>
      <c r="H7" s="18">
        <v>2430</v>
      </c>
      <c r="I7" s="18">
        <f>G7+H7-C7-E7</f>
        <v>0</v>
      </c>
      <c r="J7" s="18">
        <f>C7-G7</f>
        <v>-4023</v>
      </c>
      <c r="K7" s="18"/>
    </row>
    <row r="8" ht="20.05" customHeight="1">
      <c r="B8" s="32">
        <v>2017</v>
      </c>
      <c r="C8" s="17">
        <v>206</v>
      </c>
      <c r="D8" s="18">
        <v>6191</v>
      </c>
      <c r="E8" s="18">
        <f>D8-C8</f>
        <v>5985</v>
      </c>
      <c r="F8" s="18">
        <f>F7+'Sales'!E8</f>
        <v>436.5</v>
      </c>
      <c r="G8" s="18">
        <v>3938</v>
      </c>
      <c r="H8" s="18">
        <v>2253</v>
      </c>
      <c r="I8" s="18">
        <f>G8+H8-C8-E8</f>
        <v>0</v>
      </c>
      <c r="J8" s="18">
        <f>C8-G8</f>
        <v>-3732</v>
      </c>
      <c r="K8" s="18"/>
    </row>
    <row r="9" ht="20.05" customHeight="1">
      <c r="B9" s="31"/>
      <c r="C9" s="17">
        <v>552</v>
      </c>
      <c r="D9" s="18">
        <v>6785</v>
      </c>
      <c r="E9" s="18">
        <f>D9-C9</f>
        <v>6233</v>
      </c>
      <c r="F9" s="18">
        <f>F8+'Sales'!E9</f>
        <v>526</v>
      </c>
      <c r="G9" s="18">
        <v>4526</v>
      </c>
      <c r="H9" s="18">
        <v>2260</v>
      </c>
      <c r="I9" s="18">
        <f>G9+H9-C9-E9</f>
        <v>1</v>
      </c>
      <c r="J9" s="18">
        <f>C9-G9</f>
        <v>-3974</v>
      </c>
      <c r="K9" s="18"/>
    </row>
    <row r="10" ht="20.05" customHeight="1">
      <c r="B10" s="31"/>
      <c r="C10" s="17">
        <v>156</v>
      </c>
      <c r="D10" s="18">
        <v>6019</v>
      </c>
      <c r="E10" s="18">
        <f>D10-C10</f>
        <v>5863</v>
      </c>
      <c r="F10" s="18">
        <f>F9+'Sales'!E10</f>
        <v>615.5</v>
      </c>
      <c r="G10" s="18">
        <v>3993</v>
      </c>
      <c r="H10" s="18">
        <v>2027</v>
      </c>
      <c r="I10" s="18">
        <f>G10+H10-C10-E10</f>
        <v>1</v>
      </c>
      <c r="J10" s="18">
        <f>C10-G10</f>
        <v>-3837</v>
      </c>
      <c r="K10" s="18"/>
    </row>
    <row r="11" ht="20.05" customHeight="1">
      <c r="B11" s="31"/>
      <c r="C11" s="17">
        <v>373</v>
      </c>
      <c r="D11" s="18">
        <v>5427</v>
      </c>
      <c r="E11" s="18">
        <f>D11-C11</f>
        <v>5054</v>
      </c>
      <c r="F11" s="18">
        <f>F10+'Sales'!E11</f>
        <v>705</v>
      </c>
      <c r="G11" s="18">
        <v>4253</v>
      </c>
      <c r="H11" s="18">
        <v>1174</v>
      </c>
      <c r="I11" s="18">
        <f>G11+H11-C11-E11</f>
        <v>0</v>
      </c>
      <c r="J11" s="18">
        <f>C11-G11</f>
        <v>-3880</v>
      </c>
      <c r="K11" s="18"/>
    </row>
    <row r="12" ht="20.05" customHeight="1">
      <c r="B12" s="32">
        <v>2018</v>
      </c>
      <c r="C12" s="17">
        <v>231</v>
      </c>
      <c r="D12" s="18">
        <v>5580</v>
      </c>
      <c r="E12" s="18">
        <f>D12-C12</f>
        <v>5349</v>
      </c>
      <c r="F12" s="18">
        <f>F11+'Sales'!E12</f>
        <v>788</v>
      </c>
      <c r="G12" s="18">
        <v>4566</v>
      </c>
      <c r="H12" s="18">
        <v>1014</v>
      </c>
      <c r="I12" s="18">
        <f>G12+H12-C12-E12</f>
        <v>0</v>
      </c>
      <c r="J12" s="18">
        <f>C12-G12</f>
        <v>-4335</v>
      </c>
      <c r="K12" s="18"/>
    </row>
    <row r="13" ht="20.05" customHeight="1">
      <c r="B13" s="31"/>
      <c r="C13" s="17">
        <v>268</v>
      </c>
      <c r="D13" s="18">
        <v>5305</v>
      </c>
      <c r="E13" s="18">
        <f>D13-C13</f>
        <v>5037</v>
      </c>
      <c r="F13" s="18">
        <f>F12+'Sales'!E13</f>
        <v>871</v>
      </c>
      <c r="G13" s="18">
        <v>4393</v>
      </c>
      <c r="H13" s="18">
        <v>912</v>
      </c>
      <c r="I13" s="18">
        <f>G13+H13-C13-E13</f>
        <v>0</v>
      </c>
      <c r="J13" s="18">
        <f>C13-G13</f>
        <v>-4125</v>
      </c>
      <c r="K13" s="18"/>
    </row>
    <row r="14" ht="20.05" customHeight="1">
      <c r="B14" s="31"/>
      <c r="C14" s="17">
        <v>333</v>
      </c>
      <c r="D14" s="18">
        <v>5448</v>
      </c>
      <c r="E14" s="18">
        <f>D14-C14</f>
        <v>5115</v>
      </c>
      <c r="F14" s="18">
        <f>F13+'Sales'!E14</f>
        <v>954</v>
      </c>
      <c r="G14" s="18">
        <v>3809</v>
      </c>
      <c r="H14" s="18">
        <v>1639</v>
      </c>
      <c r="I14" s="18">
        <f>G14+H14-C14-E14</f>
        <v>0</v>
      </c>
      <c r="J14" s="18">
        <f>C14-G14</f>
        <v>-3476</v>
      </c>
      <c r="K14" s="18"/>
    </row>
    <row r="15" ht="20.05" customHeight="1">
      <c r="B15" s="31"/>
      <c r="C15" s="17">
        <v>350</v>
      </c>
      <c r="D15" s="18">
        <v>4809</v>
      </c>
      <c r="E15" s="18">
        <f>D15-C15</f>
        <v>4459</v>
      </c>
      <c r="F15" s="18">
        <f>F14+'Sales'!E15</f>
        <v>1037</v>
      </c>
      <c r="G15" s="18">
        <v>3659</v>
      </c>
      <c r="H15" s="18">
        <v>1149</v>
      </c>
      <c r="I15" s="18">
        <f>G15+H15-C15-E15</f>
        <v>-1</v>
      </c>
      <c r="J15" s="18">
        <f>C15-G15</f>
        <v>-3309</v>
      </c>
      <c r="K15" s="18"/>
    </row>
    <row r="16" ht="20.05" customHeight="1">
      <c r="B16" s="32">
        <v>2019</v>
      </c>
      <c r="C16" s="17">
        <v>168</v>
      </c>
      <c r="D16" s="18">
        <v>5045</v>
      </c>
      <c r="E16" s="18">
        <f>D16-C16</f>
        <v>4877</v>
      </c>
      <c r="F16" s="18">
        <f>F15+'Sales'!E16</f>
        <v>1101.6</v>
      </c>
      <c r="G16" s="18">
        <v>4008</v>
      </c>
      <c r="H16" s="18">
        <v>1037</v>
      </c>
      <c r="I16" s="18">
        <f>G16+H16-C16-E16</f>
        <v>0</v>
      </c>
      <c r="J16" s="18">
        <f>C16-G16</f>
        <v>-3840</v>
      </c>
      <c r="K16" s="18"/>
    </row>
    <row r="17" ht="20.05" customHeight="1">
      <c r="B17" s="31"/>
      <c r="C17" s="17">
        <v>178</v>
      </c>
      <c r="D17" s="18">
        <v>4361</v>
      </c>
      <c r="E17" s="18">
        <f>D17-C17</f>
        <v>4183</v>
      </c>
      <c r="F17" s="18">
        <f>F16+'Sales'!E17</f>
        <v>1164.6</v>
      </c>
      <c r="G17" s="18">
        <v>3399</v>
      </c>
      <c r="H17" s="18">
        <v>962</v>
      </c>
      <c r="I17" s="18">
        <f>G17+H17-C17-E17</f>
        <v>0</v>
      </c>
      <c r="J17" s="18">
        <f>C17-G17</f>
        <v>-3221</v>
      </c>
      <c r="K17" s="18"/>
    </row>
    <row r="18" ht="20.05" customHeight="1">
      <c r="B18" s="31"/>
      <c r="C18" s="17">
        <v>137</v>
      </c>
      <c r="D18" s="18">
        <v>4006</v>
      </c>
      <c r="E18" s="18">
        <f>D18-C18</f>
        <v>3869</v>
      </c>
      <c r="F18" s="18">
        <f>F17+'Sales'!E18</f>
        <v>1227.6</v>
      </c>
      <c r="G18" s="18">
        <v>3123</v>
      </c>
      <c r="H18" s="18">
        <v>883</v>
      </c>
      <c r="I18" s="18">
        <f>G18+H18-C18-E18</f>
        <v>0</v>
      </c>
      <c r="J18" s="18">
        <f>C18-G18</f>
        <v>-2986</v>
      </c>
      <c r="K18" s="18"/>
    </row>
    <row r="19" ht="20.05" customHeight="1">
      <c r="B19" s="31"/>
      <c r="C19" s="17">
        <v>304</v>
      </c>
      <c r="D19" s="18">
        <v>3821</v>
      </c>
      <c r="E19" s="18">
        <f>D19-C19</f>
        <v>3517</v>
      </c>
      <c r="F19" s="18">
        <f>2105+17+4</f>
        <v>2126</v>
      </c>
      <c r="G19" s="18">
        <v>3290</v>
      </c>
      <c r="H19" s="18">
        <v>531</v>
      </c>
      <c r="I19" s="18">
        <f>G19+H19-C19-E19</f>
        <v>0</v>
      </c>
      <c r="J19" s="18">
        <f>C19-G19</f>
        <v>-2986</v>
      </c>
      <c r="K19" s="18"/>
    </row>
    <row r="20" ht="20.05" customHeight="1">
      <c r="B20" s="32">
        <v>2020</v>
      </c>
      <c r="C20" s="17">
        <v>151</v>
      </c>
      <c r="D20" s="18">
        <v>5586</v>
      </c>
      <c r="E20" s="18">
        <f>D20-C20</f>
        <v>5435</v>
      </c>
      <c r="F20" s="18">
        <f>18+2138+12</f>
        <v>2168</v>
      </c>
      <c r="G20" s="18">
        <v>5156</v>
      </c>
      <c r="H20" s="18">
        <v>430</v>
      </c>
      <c r="I20" s="18">
        <f>G20+H20-C20-E20</f>
        <v>0</v>
      </c>
      <c r="J20" s="18">
        <f>C20-G20</f>
        <v>-5005</v>
      </c>
      <c r="K20" s="18"/>
    </row>
    <row r="21" ht="20.05" customHeight="1">
      <c r="B21" s="31"/>
      <c r="C21" s="17">
        <v>166</v>
      </c>
      <c r="D21" s="18">
        <v>4672</v>
      </c>
      <c r="E21" s="18">
        <f>D21-C21</f>
        <v>4506</v>
      </c>
      <c r="F21" s="18">
        <f>2148+12+19</f>
        <v>2179</v>
      </c>
      <c r="G21" s="18">
        <v>4360</v>
      </c>
      <c r="H21" s="18">
        <v>311</v>
      </c>
      <c r="I21" s="18">
        <f>G21+H21-C21-E21</f>
        <v>-1</v>
      </c>
      <c r="J21" s="18">
        <f>C21-G21</f>
        <v>-4194</v>
      </c>
      <c r="K21" s="18"/>
    </row>
    <row r="22" ht="20.05" customHeight="1">
      <c r="B22" s="31"/>
      <c r="C22" s="17">
        <v>144</v>
      </c>
      <c r="D22" s="18">
        <v>4633</v>
      </c>
      <c r="E22" s="18">
        <f>D22-C22</f>
        <v>4489</v>
      </c>
      <c r="F22" s="18">
        <f>19+2169+8</f>
        <v>2196</v>
      </c>
      <c r="G22" s="18">
        <v>4435</v>
      </c>
      <c r="H22" s="18">
        <v>198</v>
      </c>
      <c r="I22" s="18">
        <f>G22+H22-C22-E22</f>
        <v>0</v>
      </c>
      <c r="J22" s="18">
        <f>C22-G22</f>
        <v>-4291</v>
      </c>
      <c r="K22" s="18"/>
    </row>
    <row r="23" ht="20.05" customHeight="1">
      <c r="B23" s="31"/>
      <c r="C23" s="17">
        <v>300</v>
      </c>
      <c r="D23" s="18">
        <v>4510</v>
      </c>
      <c r="E23" s="18">
        <f>D23-C23</f>
        <v>4210</v>
      </c>
      <c r="F23" s="18">
        <f>330+2166+6+19</f>
        <v>2521</v>
      </c>
      <c r="G23" s="18">
        <v>4325</v>
      </c>
      <c r="H23" s="18">
        <v>185</v>
      </c>
      <c r="I23" s="18">
        <f>G23+H23-C23-E23</f>
        <v>0</v>
      </c>
      <c r="J23" s="18">
        <f>C23-G23</f>
        <v>-4025</v>
      </c>
      <c r="K23" s="18"/>
    </row>
    <row r="24" ht="20.05" customHeight="1">
      <c r="B24" s="32">
        <v>2021</v>
      </c>
      <c r="C24" s="17">
        <v>224</v>
      </c>
      <c r="D24" s="18">
        <v>4690</v>
      </c>
      <c r="E24" s="18">
        <f>D24-C24</f>
        <v>4466</v>
      </c>
      <c r="F24" s="18">
        <f>19+416+2217+5</f>
        <v>2657</v>
      </c>
      <c r="G24" s="18">
        <v>4589</v>
      </c>
      <c r="H24" s="18">
        <v>101</v>
      </c>
      <c r="I24" s="18">
        <f>G24+H24-C24-E24</f>
        <v>0</v>
      </c>
      <c r="J24" s="18">
        <f>C24-G24</f>
        <v>-4365</v>
      </c>
      <c r="K24" s="18"/>
    </row>
    <row r="25" ht="20.05" customHeight="1">
      <c r="B25" s="31"/>
      <c r="C25" s="17">
        <v>161</v>
      </c>
      <c r="D25" s="18">
        <v>4026</v>
      </c>
      <c r="E25" s="18">
        <f>D25-C25</f>
        <v>3865</v>
      </c>
      <c r="F25" s="18">
        <f>F24+'Sales'!E25</f>
        <v>2793.5</v>
      </c>
      <c r="G25" s="18">
        <v>3916</v>
      </c>
      <c r="H25" s="18">
        <v>109</v>
      </c>
      <c r="I25" s="18">
        <f>G25+H25-C25-E25</f>
        <v>-1</v>
      </c>
      <c r="J25" s="18">
        <f>C25-G25</f>
        <v>-3755</v>
      </c>
      <c r="K25" s="18"/>
    </row>
    <row r="26" ht="20.05" customHeight="1">
      <c r="B26" s="31"/>
      <c r="C26" s="17">
        <v>133</v>
      </c>
      <c r="D26" s="18">
        <v>4068</v>
      </c>
      <c r="E26" s="18">
        <f>D26-C26</f>
        <v>3935</v>
      </c>
      <c r="F26" s="18">
        <f>569+2275+6+20</f>
        <v>2870</v>
      </c>
      <c r="G26" s="18">
        <v>4040</v>
      </c>
      <c r="H26" s="18">
        <v>28</v>
      </c>
      <c r="I26" s="18">
        <f>G26+H26-C26-E26</f>
        <v>0</v>
      </c>
      <c r="J26" s="18">
        <f>C26-G26</f>
        <v>-3907</v>
      </c>
      <c r="K26" s="18"/>
    </row>
    <row r="27" ht="20.05" customHeight="1">
      <c r="B27" s="31"/>
      <c r="C27" s="17">
        <v>753</v>
      </c>
      <c r="D27" s="18">
        <v>4650</v>
      </c>
      <c r="E27" s="18">
        <f>D27-C27</f>
        <v>3897</v>
      </c>
      <c r="F27" s="18">
        <f>653+2232+5+20</f>
        <v>2910</v>
      </c>
      <c r="G27" s="18">
        <v>4066</v>
      </c>
      <c r="H27" s="18">
        <v>584</v>
      </c>
      <c r="I27" s="18">
        <f>G27+H27-C27-E27</f>
        <v>0</v>
      </c>
      <c r="J27" s="18">
        <f>C27-G27</f>
        <v>-3313</v>
      </c>
      <c r="K27" s="18"/>
    </row>
    <row r="28" ht="20.05" customHeight="1">
      <c r="B28" s="32">
        <v>2022</v>
      </c>
      <c r="C28" s="17">
        <v>348</v>
      </c>
      <c r="D28" s="18">
        <v>4739</v>
      </c>
      <c r="E28" s="18">
        <f>D28-C28</f>
        <v>4391</v>
      </c>
      <c r="F28" s="18">
        <f>738+2261+6+21</f>
        <v>3026</v>
      </c>
      <c r="G28" s="18">
        <v>4264</v>
      </c>
      <c r="H28" s="18">
        <v>475</v>
      </c>
      <c r="I28" s="18">
        <f>G28+H28-C28-E28</f>
        <v>0</v>
      </c>
      <c r="J28" s="18">
        <f>C28-G28</f>
        <v>-3916</v>
      </c>
      <c r="K28" s="18">
        <v>-2996.803840897950</v>
      </c>
    </row>
    <row r="29" ht="20.05" customHeight="1">
      <c r="B29" s="31"/>
      <c r="C29" s="17"/>
      <c r="D29" s="18"/>
      <c r="E29" s="18"/>
      <c r="F29" s="18"/>
      <c r="G29" s="18"/>
      <c r="H29" s="18"/>
      <c r="I29" s="18"/>
      <c r="J29" s="18"/>
      <c r="K29" s="18">
        <f>'Model'!E31</f>
        <v>-3596.285591521490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4" width="12.0781" style="36" customWidth="1"/>
    <col min="5" max="16384" width="16.3516" style="36" customWidth="1"/>
  </cols>
  <sheetData>
    <row r="1" ht="27.65" customHeight="1">
      <c r="A1" t="s" s="2">
        <v>51</v>
      </c>
      <c r="B1" s="2"/>
      <c r="C1" s="2"/>
      <c r="D1" s="2"/>
    </row>
    <row r="2" ht="32.25" customHeight="1">
      <c r="A2" s="34"/>
      <c r="B2" t="s" s="5">
        <v>52</v>
      </c>
      <c r="C2" t="s" s="5">
        <v>53</v>
      </c>
      <c r="D2" t="s" s="5">
        <v>54</v>
      </c>
    </row>
    <row r="3" ht="20.25" customHeight="1">
      <c r="A3" s="27">
        <v>2018</v>
      </c>
      <c r="B3" s="28">
        <v>340</v>
      </c>
      <c r="C3" s="8"/>
      <c r="D3" s="8"/>
    </row>
    <row r="4" ht="20.05" customHeight="1">
      <c r="A4" s="31"/>
      <c r="B4" s="17">
        <v>254</v>
      </c>
      <c r="C4" s="21"/>
      <c r="D4" s="21"/>
    </row>
    <row r="5" ht="20.05" customHeight="1">
      <c r="A5" s="31"/>
      <c r="B5" s="17">
        <v>150</v>
      </c>
      <c r="C5" s="21"/>
      <c r="D5" s="21"/>
    </row>
    <row r="6" ht="20.05" customHeight="1">
      <c r="A6" s="31"/>
      <c r="B6" s="17">
        <v>182</v>
      </c>
      <c r="C6" s="21"/>
      <c r="D6" s="21"/>
    </row>
    <row r="7" ht="20.05" customHeight="1">
      <c r="A7" s="32">
        <v>2019</v>
      </c>
      <c r="B7" s="17">
        <v>202</v>
      </c>
      <c r="C7" s="21"/>
      <c r="D7" s="21"/>
    </row>
    <row r="8" ht="20.05" customHeight="1">
      <c r="A8" s="31"/>
      <c r="B8" s="17">
        <v>206</v>
      </c>
      <c r="C8" s="21"/>
      <c r="D8" s="21"/>
    </row>
    <row r="9" ht="20.05" customHeight="1">
      <c r="A9" s="31"/>
      <c r="B9" s="17">
        <v>171</v>
      </c>
      <c r="C9" s="21"/>
      <c r="D9" s="21"/>
    </row>
    <row r="10" ht="20.05" customHeight="1">
      <c r="A10" s="31"/>
      <c r="B10" s="17">
        <v>118</v>
      </c>
      <c r="C10" s="21"/>
      <c r="D10" s="21"/>
    </row>
    <row r="11" ht="20.05" customHeight="1">
      <c r="A11" s="32">
        <v>2020</v>
      </c>
      <c r="B11" s="17">
        <v>89</v>
      </c>
      <c r="C11" s="21"/>
      <c r="D11" s="21"/>
    </row>
    <row r="12" ht="20.05" customHeight="1">
      <c r="A12" s="31"/>
      <c r="B12" s="17">
        <v>117</v>
      </c>
      <c r="C12" s="21"/>
      <c r="D12" s="21"/>
    </row>
    <row r="13" ht="20.05" customHeight="1">
      <c r="A13" s="31"/>
      <c r="B13" s="17">
        <v>95</v>
      </c>
      <c r="C13" s="21"/>
      <c r="D13" s="21"/>
    </row>
    <row r="14" ht="20.05" customHeight="1">
      <c r="A14" s="31"/>
      <c r="B14" s="37">
        <v>105</v>
      </c>
      <c r="C14" s="21"/>
      <c r="D14" s="21"/>
    </row>
    <row r="15" ht="20.05" customHeight="1">
      <c r="A15" s="32">
        <v>2021</v>
      </c>
      <c r="B15" s="17">
        <v>254</v>
      </c>
      <c r="C15" s="21"/>
      <c r="D15" s="21"/>
    </row>
    <row r="16" ht="20.05" customHeight="1">
      <c r="A16" s="31"/>
      <c r="B16" s="17">
        <v>1055</v>
      </c>
      <c r="C16" s="21"/>
      <c r="D16" s="21"/>
    </row>
    <row r="17" ht="20.05" customHeight="1">
      <c r="A17" s="31"/>
      <c r="B17" s="17">
        <v>1010</v>
      </c>
      <c r="C17" s="21"/>
      <c r="D17" s="21"/>
    </row>
    <row r="18" ht="20.05" customHeight="1">
      <c r="A18" s="31"/>
      <c r="B18" s="17">
        <v>434</v>
      </c>
      <c r="C18" s="21"/>
      <c r="D18" s="21"/>
    </row>
    <row r="19" ht="20.05" customHeight="1">
      <c r="A19" s="32">
        <v>2022</v>
      </c>
      <c r="B19" s="17">
        <v>404</v>
      </c>
      <c r="C19" s="24">
        <v>114.630443549099</v>
      </c>
      <c r="D19" s="21"/>
    </row>
    <row r="20" ht="20.05" customHeight="1">
      <c r="A20" s="31"/>
      <c r="B20" s="17">
        <v>242</v>
      </c>
      <c r="C20" s="24">
        <v>367.088678673943</v>
      </c>
      <c r="D20" s="21"/>
    </row>
    <row r="21" ht="20.05" customHeight="1">
      <c r="A21" s="31"/>
      <c r="B21" s="38"/>
      <c r="C21" s="24">
        <f>'Model'!E44</f>
        <v>214.208705064494</v>
      </c>
      <c r="D21" s="21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