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<sst xmlns="http://schemas.openxmlformats.org/spreadsheetml/2006/main" uniqueCount="58">
  <si>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</si>
  <si>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</si>
  <si>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</si>
  <si>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>Cashflow</t>
  </si>
  <si>
    <t>Growth</t>
  </si>
  <si>
    <t>Sales</t>
  </si>
  <si>
    <t xml:space="preserve">Cost ratio </t>
  </si>
  <si>
    <t>Costs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</si>
  <si>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</si>
  <si>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</si>
  <si>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</si>
  <si>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</si>
  <si>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</si>
  <si>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</si>
  <si>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</si>
  <si>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</si>
  <si>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</si>
  <si>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</si>
  <si>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>Change</t>
  </si>
  <si>
    <t>Ending</t>
  </si>
  <si>
    <t xml:space="preserve">Profit </t>
  </si>
  <si>
    <t>Non cash costs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</si>
  <si>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</si>
  <si>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</si>
  <si>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</si>
  <si>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</si>
  <si>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</si>
  <si>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</si>
  <si>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</si>
  <si>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</si>
  <si>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>Current value</t>
  </si>
  <si>
    <t>P/assets</t>
  </si>
  <si>
    <t>Yield</t>
  </si>
  <si>
    <t xml:space="preserve">Payback </t>
  </si>
  <si>
    <t xml:space="preserve">Forecast </t>
  </si>
  <si>
    <t>Value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</si>
  <si>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</si>
  <si>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</si>
  <si>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</si>
  <si>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</si>
  <si>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</si>
  <si>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</si>
  <si>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Forevast</t>
  </si>
  <si>
    <t>Profit</t>
  </si>
  <si>
    <t xml:space="preserve">Sales growth </t>
  </si>
  <si>
    <t>Cost ratio</t>
  </si>
  <si>
    <t xml:space="preserve">Receipts </t>
  </si>
  <si>
    <t>Interest</t>
  </si>
  <si>
    <t>Lease</t>
  </si>
  <si>
    <t>Finance</t>
  </si>
  <si>
    <t>Free cashflow</t>
  </si>
  <si>
    <t xml:space="preserve">Cashflow </t>
  </si>
  <si>
    <t>Cash</t>
  </si>
  <si>
    <t>Assets</t>
  </si>
  <si>
    <t>Net cash</t>
  </si>
  <si>
    <t>Share price</t>
  </si>
  <si>
    <t>MLPT</t>
  </si>
  <si>
    <t>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</si>
</sst>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.0"/>
    <numFmt numFmtId="61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612714</xdr:colOff>
      <xdr:row>2</xdr:row>
      <xdr:rowOff>90677</xdr:rowOff>
    </xdr:from>
    <xdr:to>
      <xdr:col>13</xdr:col>
      <xdr:colOff>307999</xdr:colOff>
      <xdr:row>50</xdr:row>
      <xdr:rowOff>75893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883214" y="1455292"/>
          <a:ext cx="8407486" cy="122108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5703" style="1" customWidth="1"/>
    <col min="2" max="2" width="16.3516" style="1" customWidth="1"/>
    <col min="3" max="6" width="9.28125" style="1" customWidth="1"/>
    <col min="7" max="16384" width="16.3516" style="1" customWidth="1"/>
  </cols>
  <sheetData>
    <row r="1" ht="79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AVERAGE('Sales'!G21:G24)</f>
        <v>0.148158185310741</v>
      </c>
      <c r="D4" s="8"/>
      <c r="E4" s="8"/>
      <c r="F4" s="8">
        <f>AVERAGE(C5:F5)</f>
        <v>0.045</v>
      </c>
    </row>
    <row r="5" ht="20.05" customHeight="1">
      <c r="B5" t="s" s="9">
        <v>4</v>
      </c>
      <c r="C5" s="10">
        <v>0.03</v>
      </c>
      <c r="D5" s="11">
        <v>0.1</v>
      </c>
      <c r="E5" s="11">
        <v>0.2</v>
      </c>
      <c r="F5" s="12">
        <v>-0.15</v>
      </c>
    </row>
    <row r="6" ht="20.05" customHeight="1">
      <c r="B6" t="s" s="9">
        <v>5</v>
      </c>
      <c r="C6" s="13">
        <f>'Sales'!C24*(1+C5)</f>
        <v>938.639</v>
      </c>
      <c r="D6" s="14">
        <f>C6*(1+D5)</f>
        <v>1032.5029</v>
      </c>
      <c r="E6" s="14">
        <f>D6*(1+E5)</f>
        <v>1239.00348</v>
      </c>
      <c r="F6" s="14">
        <f>E6*(1+F5)</f>
        <v>1053.152958</v>
      </c>
    </row>
    <row r="7" ht="20.05" customHeight="1">
      <c r="B7" t="s" s="9">
        <v>6</v>
      </c>
      <c r="C7" s="10">
        <f>AVERAGE('Sales'!I24)</f>
        <v>-0.861745537220273</v>
      </c>
      <c r="D7" s="12">
        <f>C7</f>
        <v>-0.861745537220273</v>
      </c>
      <c r="E7" s="12">
        <f>D7</f>
        <v>-0.861745537220273</v>
      </c>
      <c r="F7" s="12">
        <f>E7</f>
        <v>-0.861745537220273</v>
      </c>
    </row>
    <row r="8" ht="20.05" customHeight="1">
      <c r="B8" t="s" s="9">
        <v>7</v>
      </c>
      <c r="C8" s="15">
        <f>C6*C7</f>
        <v>-808.8679693109</v>
      </c>
      <c r="D8" s="16">
        <f>D6*D7</f>
        <v>-889.754766241990</v>
      </c>
      <c r="E8" s="16">
        <f>E6*E7</f>
        <v>-1067.705719490390</v>
      </c>
      <c r="F8" s="16">
        <f>F6*F7</f>
        <v>-907.549861566830</v>
      </c>
    </row>
    <row r="9" ht="20.05" customHeight="1">
      <c r="B9" t="s" s="9">
        <v>8</v>
      </c>
      <c r="C9" s="13">
        <f>C6+C8</f>
        <v>129.7710306891</v>
      </c>
      <c r="D9" s="14">
        <f>D6+D8</f>
        <v>142.748133758010</v>
      </c>
      <c r="E9" s="14">
        <f>E6+E8</f>
        <v>171.297760509610</v>
      </c>
      <c r="F9" s="14">
        <f>F6+F8</f>
        <v>145.603096433170</v>
      </c>
    </row>
    <row r="10" ht="20.05" customHeight="1">
      <c r="B10" t="s" s="9">
        <v>9</v>
      </c>
      <c r="C10" s="13">
        <f>AVERAGE('Cashflow '!E24)</f>
        <v>-29.5</v>
      </c>
      <c r="D10" s="14">
        <f>C10</f>
        <v>-29.5</v>
      </c>
      <c r="E10" s="14">
        <f>D10</f>
        <v>-29.5</v>
      </c>
      <c r="F10" s="14">
        <f>E10</f>
        <v>-29.5</v>
      </c>
    </row>
    <row r="11" ht="20.05" customHeight="1">
      <c r="B11" t="s" s="9">
        <v>10</v>
      </c>
      <c r="C11" s="13">
        <f>'Cashflow '!G24</f>
        <v>-4.4</v>
      </c>
      <c r="D11" s="14">
        <f>C11</f>
        <v>-4.4</v>
      </c>
      <c r="E11" s="14">
        <f>D11</f>
        <v>-4.4</v>
      </c>
      <c r="F11" s="14">
        <f>E11</f>
        <v>-4.4</v>
      </c>
    </row>
    <row r="12" ht="20.05" customHeight="1">
      <c r="B12" t="s" s="9">
        <v>11</v>
      </c>
      <c r="C12" s="13">
        <f>C13+C16+C14</f>
        <v>-100.2710306891</v>
      </c>
      <c r="D12" s="14">
        <f>D13+D16+D14</f>
        <v>-113.248133758010</v>
      </c>
      <c r="E12" s="14">
        <f>E13+E16+E14</f>
        <v>-141.797760509610</v>
      </c>
      <c r="F12" s="14">
        <f>F13+F16+F14</f>
        <v>-116.103096433170</v>
      </c>
    </row>
    <row r="13" ht="20.05" customHeight="1">
      <c r="B13" t="s" s="9">
        <v>12</v>
      </c>
      <c r="C13" s="13">
        <f>-'Balance sheet'!G21/20</f>
        <v>-94.75</v>
      </c>
      <c r="D13" s="14">
        <f>-C28/20</f>
        <v>-90.0125</v>
      </c>
      <c r="E13" s="14">
        <f>-D28/20</f>
        <v>-85.511875</v>
      </c>
      <c r="F13" s="14">
        <f>-E28/20</f>
        <v>-81.23628125</v>
      </c>
    </row>
    <row r="14" ht="20.05" customHeight="1">
      <c r="B14" t="s" s="9">
        <v>13</v>
      </c>
      <c r="C14" s="13">
        <f>-MIN(0,C17)</f>
        <v>21.950278517630</v>
      </c>
      <c r="D14" s="14">
        <f>-MIN(C29,D17)</f>
        <v>8.128806369393001</v>
      </c>
      <c r="E14" s="14">
        <f>-MIN(D29,E17)</f>
        <v>-16.356557356727</v>
      </c>
      <c r="F14" s="14">
        <f>-MIN(E29,F17)</f>
        <v>-2.645886253219</v>
      </c>
    </row>
    <row r="15" ht="20.05" customHeight="1">
      <c r="B15" t="s" s="9">
        <v>14</v>
      </c>
      <c r="C15" s="17">
        <v>0.3</v>
      </c>
      <c r="D15" s="14"/>
      <c r="E15" s="14"/>
      <c r="F15" s="14"/>
    </row>
    <row r="16" ht="20.05" customHeight="1">
      <c r="B16" t="s" s="9">
        <v>15</v>
      </c>
      <c r="C16" s="13">
        <f>IF(C23&gt;0,-C23*$C$15,0)</f>
        <v>-27.471309206730</v>
      </c>
      <c r="D16" s="14">
        <f>IF(D23&gt;0,-D23*$C$15,0)</f>
        <v>-31.364440127403</v>
      </c>
      <c r="E16" s="14">
        <f>IF(E23&gt;0,-E23*$C$15,0)</f>
        <v>-39.929328152883</v>
      </c>
      <c r="F16" s="14">
        <f>IF(F23&gt;0,-F23*$C$15,0)</f>
        <v>-32.220928929951</v>
      </c>
    </row>
    <row r="17" ht="20.05" customHeight="1">
      <c r="B17" t="s" s="9">
        <v>16</v>
      </c>
      <c r="C17" s="13">
        <f>C9+C10+C13+C16</f>
        <v>-21.950278517630</v>
      </c>
      <c r="D17" s="14">
        <f>D9+D10+D13+D16</f>
        <v>-8.128806369393001</v>
      </c>
      <c r="E17" s="14">
        <f>E9+E10+E13+E16</f>
        <v>16.356557356727</v>
      </c>
      <c r="F17" s="14">
        <f>F9+F10+F13+F16</f>
        <v>2.645886253219</v>
      </c>
    </row>
    <row r="18" ht="20.05" customHeight="1">
      <c r="B18" t="s" s="9">
        <v>17</v>
      </c>
      <c r="C18" s="13">
        <f>'Balance sheet'!C21</f>
        <v>206</v>
      </c>
      <c r="D18" s="14">
        <f>C20</f>
        <v>206</v>
      </c>
      <c r="E18" s="14">
        <f>D20</f>
        <v>206</v>
      </c>
      <c r="F18" s="14">
        <f>E20</f>
        <v>206</v>
      </c>
    </row>
    <row r="19" ht="20.05" customHeight="1">
      <c r="B19" t="s" s="9">
        <v>18</v>
      </c>
      <c r="C19" s="13">
        <f>C9+C10+C12</f>
        <v>0</v>
      </c>
      <c r="D19" s="14">
        <f>D9+D10+D12</f>
        <v>0</v>
      </c>
      <c r="E19" s="14">
        <f>E9+E10+E12</f>
        <v>0</v>
      </c>
      <c r="F19" s="14">
        <f>F9+F10+F12</f>
        <v>0</v>
      </c>
    </row>
    <row r="20" ht="20.05" customHeight="1">
      <c r="B20" t="s" s="9">
        <v>19</v>
      </c>
      <c r="C20" s="13">
        <f>C18+C19</f>
        <v>206</v>
      </c>
      <c r="D20" s="14">
        <f>D18+D19</f>
        <v>206</v>
      </c>
      <c r="E20" s="14">
        <f>E18+E19</f>
        <v>206</v>
      </c>
      <c r="F20" s="14">
        <f>F18+F19</f>
        <v>206</v>
      </c>
    </row>
    <row r="21" ht="20.05" customHeight="1">
      <c r="B21" t="s" s="18">
        <v>20</v>
      </c>
      <c r="C21" s="19"/>
      <c r="D21" s="20"/>
      <c r="E21" s="20"/>
      <c r="F21" s="21"/>
    </row>
    <row r="22" ht="20.05" customHeight="1">
      <c r="B22" t="s" s="9">
        <v>21</v>
      </c>
      <c r="C22" s="15">
        <f>-'Sales'!E24</f>
        <v>-38.2</v>
      </c>
      <c r="D22" s="16">
        <f>C22</f>
        <v>-38.2</v>
      </c>
      <c r="E22" s="16">
        <f>D22</f>
        <v>-38.2</v>
      </c>
      <c r="F22" s="16">
        <f>E22</f>
        <v>-38.2</v>
      </c>
    </row>
    <row r="23" ht="20.05" customHeight="1">
      <c r="B23" t="s" s="9">
        <v>20</v>
      </c>
      <c r="C23" s="13">
        <f>C6+C8+C22</f>
        <v>91.5710306891</v>
      </c>
      <c r="D23" s="14">
        <f>D6+D8+D22</f>
        <v>104.548133758010</v>
      </c>
      <c r="E23" s="14">
        <f>E6+E8+E22</f>
        <v>133.097760509610</v>
      </c>
      <c r="F23" s="14">
        <f>F6+F8+F22</f>
        <v>107.403096433170</v>
      </c>
    </row>
    <row r="24" ht="20.05" customHeight="1">
      <c r="B24" t="s" s="18">
        <v>22</v>
      </c>
      <c r="C24" s="19"/>
      <c r="D24" s="20"/>
      <c r="E24" s="20"/>
      <c r="F24" s="20"/>
    </row>
    <row r="25" ht="20.05" customHeight="1">
      <c r="B25" t="s" s="9">
        <v>23</v>
      </c>
      <c r="C25" s="13">
        <f>'Balance sheet'!E21+'Balance sheet'!F21-C10</f>
        <v>3294.5</v>
      </c>
      <c r="D25" s="14">
        <f>C25-D10</f>
        <v>3324</v>
      </c>
      <c r="E25" s="14">
        <f>D25-E10</f>
        <v>3353.5</v>
      </c>
      <c r="F25" s="14">
        <f>E25-F10</f>
        <v>3383</v>
      </c>
    </row>
    <row r="26" ht="20.05" customHeight="1">
      <c r="B26" t="s" s="9">
        <v>24</v>
      </c>
      <c r="C26" s="13">
        <f>'Balance sheet'!F21-C22</f>
        <v>760.2</v>
      </c>
      <c r="D26" s="14">
        <f>C26-D22</f>
        <v>798.4</v>
      </c>
      <c r="E26" s="14">
        <f>D26-E22</f>
        <v>836.6</v>
      </c>
      <c r="F26" s="14">
        <f>E26-F22</f>
        <v>874.8</v>
      </c>
    </row>
    <row r="27" ht="20.05" customHeight="1">
      <c r="B27" t="s" s="9">
        <v>25</v>
      </c>
      <c r="C27" s="13">
        <f>C25-C26</f>
        <v>2534.3</v>
      </c>
      <c r="D27" s="14">
        <f>D25-D26</f>
        <v>2525.6</v>
      </c>
      <c r="E27" s="14">
        <f>E25-E26</f>
        <v>2516.9</v>
      </c>
      <c r="F27" s="14">
        <f>F25-F26</f>
        <v>2508.2</v>
      </c>
    </row>
    <row r="28" ht="20.05" customHeight="1">
      <c r="B28" t="s" s="9">
        <v>12</v>
      </c>
      <c r="C28" s="13">
        <f>'Balance sheet'!G21+C13</f>
        <v>1800.25</v>
      </c>
      <c r="D28" s="14">
        <f>C28+D13</f>
        <v>1710.2375</v>
      </c>
      <c r="E28" s="14">
        <f>D28+E13</f>
        <v>1624.725625</v>
      </c>
      <c r="F28" s="14">
        <f>E28+F13</f>
        <v>1543.48934375</v>
      </c>
    </row>
    <row r="29" ht="20.05" customHeight="1">
      <c r="B29" t="s" s="9">
        <v>13</v>
      </c>
      <c r="C29" s="13">
        <f>C14</f>
        <v>21.950278517630</v>
      </c>
      <c r="D29" s="14">
        <f>C29+D14</f>
        <v>30.079084887023</v>
      </c>
      <c r="E29" s="14">
        <f>D29+E14</f>
        <v>13.722527530296</v>
      </c>
      <c r="F29" s="14">
        <f>E29+F14</f>
        <v>11.076641277077</v>
      </c>
    </row>
    <row r="30" ht="20.05" customHeight="1">
      <c r="B30" t="s" s="9">
        <v>15</v>
      </c>
      <c r="C30" s="13">
        <f>'Balance sheet'!H21+C23+C16</f>
        <v>918.099721482370</v>
      </c>
      <c r="D30" s="14">
        <f>C30+D23+D16</f>
        <v>991.283415112977</v>
      </c>
      <c r="E30" s="14">
        <f>D30+E23+E16</f>
        <v>1084.4518474697</v>
      </c>
      <c r="F30" s="14">
        <f>E30+F23+F16</f>
        <v>1159.634014972920</v>
      </c>
    </row>
    <row r="31" ht="20.05" customHeight="1">
      <c r="B31" t="s" s="9">
        <v>26</v>
      </c>
      <c r="C31" s="13">
        <f>C28+C29+C30-C20-C27</f>
        <v>0</v>
      </c>
      <c r="D31" s="14">
        <f>D28+D29+D30-D20-D27</f>
        <v>0</v>
      </c>
      <c r="E31" s="14">
        <f>E28+E29+E30-E20-E27</f>
        <v>-4e-12</v>
      </c>
      <c r="F31" s="14">
        <f>F28+F29+F30-F20-F27</f>
        <v>-3e-12</v>
      </c>
    </row>
    <row r="32" ht="20.05" customHeight="1">
      <c r="B32" t="s" s="9">
        <v>27</v>
      </c>
      <c r="C32" s="13">
        <f>C20-C28-C29</f>
        <v>-1616.200278517630</v>
      </c>
      <c r="D32" s="14">
        <f>D20-D28-D29</f>
        <v>-1534.316584887020</v>
      </c>
      <c r="E32" s="14">
        <f>E20-E28-E29</f>
        <v>-1432.4481525303</v>
      </c>
      <c r="F32" s="14">
        <f>F20-F28-F29</f>
        <v>-1348.565985027080</v>
      </c>
    </row>
    <row r="33" ht="20.05" customHeight="1">
      <c r="B33" t="s" s="18">
        <v>28</v>
      </c>
      <c r="C33" s="19"/>
      <c r="D33" s="20"/>
      <c r="E33" s="20"/>
      <c r="F33" s="20"/>
    </row>
    <row r="34" ht="20.05" customHeight="1">
      <c r="B34" t="s" s="9">
        <v>29</v>
      </c>
      <c r="C34" s="13">
        <f>'Cashflow '!N24-(C12-C11)</f>
        <v>835.5110306891</v>
      </c>
      <c r="D34" s="14">
        <f>C34-((D12-D11))</f>
        <v>944.3591644471099</v>
      </c>
      <c r="E34" s="14">
        <f>D34-((E12-E11))</f>
        <v>1081.756924956720</v>
      </c>
      <c r="F34" s="14">
        <f>E34-((F12-F11))</f>
        <v>1193.460021389890</v>
      </c>
    </row>
    <row r="35" ht="20.05" customHeight="1">
      <c r="B35" t="s" s="9">
        <v>30</v>
      </c>
      <c r="C35" s="19"/>
      <c r="D35" s="20"/>
      <c r="E35" s="20"/>
      <c r="F35" s="14">
        <v>5831250149376</v>
      </c>
    </row>
    <row r="36" ht="20.05" customHeight="1">
      <c r="B36" t="s" s="9">
        <v>30</v>
      </c>
      <c r="C36" s="19"/>
      <c r="D36" s="20"/>
      <c r="E36" s="20"/>
      <c r="F36" s="14">
        <f>F35/1000000000</f>
        <v>5831.250149376</v>
      </c>
    </row>
    <row r="37" ht="20.05" customHeight="1">
      <c r="B37" t="s" s="9">
        <v>31</v>
      </c>
      <c r="C37" s="19"/>
      <c r="D37" s="20"/>
      <c r="E37" s="20"/>
      <c r="F37" s="22">
        <f>F36/(F20+F27)</f>
        <v>2.14842316313315</v>
      </c>
    </row>
    <row r="38" ht="20.05" customHeight="1">
      <c r="B38" t="s" s="9">
        <v>32</v>
      </c>
      <c r="C38" s="23"/>
      <c r="D38" s="21"/>
      <c r="E38" s="21"/>
      <c r="F38" s="24">
        <f>-(C16+D16+E16+F16)/F36</f>
        <v>0.0224627657983398</v>
      </c>
    </row>
    <row r="39" ht="20.05" customHeight="1">
      <c r="B39" t="s" s="9">
        <v>3</v>
      </c>
      <c r="C39" s="23"/>
      <c r="D39" s="21"/>
      <c r="E39" s="21"/>
      <c r="F39" s="14">
        <f>SUM(C9:F11)</f>
        <v>453.820021389890</v>
      </c>
    </row>
    <row r="40" ht="20.05" customHeight="1">
      <c r="B40" t="s" s="9">
        <v>33</v>
      </c>
      <c r="C40" s="23"/>
      <c r="D40" s="21"/>
      <c r="E40" s="21"/>
      <c r="F40" s="16">
        <f>'Balance sheet'!E21/F39</f>
        <v>5.60354299092334</v>
      </c>
    </row>
    <row r="41" ht="20.05" customHeight="1">
      <c r="B41" t="s" s="9">
        <v>28</v>
      </c>
      <c r="C41" s="23"/>
      <c r="D41" s="21"/>
      <c r="E41" s="21"/>
      <c r="F41" s="16">
        <f>F36/F39</f>
        <v>12.8492571383628</v>
      </c>
    </row>
    <row r="42" ht="20.05" customHeight="1">
      <c r="B42" t="s" s="9">
        <v>34</v>
      </c>
      <c r="C42" s="23"/>
      <c r="D42" s="21"/>
      <c r="E42" s="21"/>
      <c r="F42" s="20">
        <v>17</v>
      </c>
    </row>
    <row r="43" ht="20.05" customHeight="1">
      <c r="B43" t="s" s="9">
        <v>35</v>
      </c>
      <c r="C43" s="23"/>
      <c r="D43" s="21"/>
      <c r="E43" s="21"/>
      <c r="F43" s="14">
        <f>F39*F42</f>
        <v>7714.940363628130</v>
      </c>
    </row>
    <row r="44" ht="20.05" customHeight="1">
      <c r="B44" t="s" s="9">
        <v>36</v>
      </c>
      <c r="C44" s="23"/>
      <c r="D44" s="21"/>
      <c r="E44" s="21"/>
      <c r="F44" s="25">
        <f>F36/F46</f>
        <v>1.87500004803087</v>
      </c>
    </row>
    <row r="45" ht="20.05" customHeight="1">
      <c r="B45" t="s" s="9">
        <v>37</v>
      </c>
      <c r="C45" s="23"/>
      <c r="D45" s="21"/>
      <c r="E45" s="21"/>
      <c r="F45" s="14">
        <f>F43/F44</f>
        <v>4114.634755199280</v>
      </c>
    </row>
    <row r="46" ht="20.05" customHeight="1">
      <c r="B46" t="s" s="9">
        <v>38</v>
      </c>
      <c r="C46" s="23"/>
      <c r="D46" s="21"/>
      <c r="E46" s="21"/>
      <c r="F46" s="14">
        <v>3110</v>
      </c>
    </row>
    <row r="47" ht="20.05" customHeight="1">
      <c r="B47" t="s" s="9">
        <v>39</v>
      </c>
      <c r="C47" s="23"/>
      <c r="D47" s="21"/>
      <c r="E47" s="21"/>
      <c r="F47" s="24">
        <f>F43/F36-1</f>
        <v>0.32303368334382</v>
      </c>
    </row>
    <row r="48" ht="20.05" customHeight="1">
      <c r="B48" t="s" s="9">
        <v>40</v>
      </c>
      <c r="C48" s="23"/>
      <c r="D48" s="21"/>
      <c r="E48" s="21"/>
      <c r="F48" s="24">
        <f>'Sales'!C24/'Sales'!C20-1</f>
        <v>0.636379960495601</v>
      </c>
    </row>
    <row r="49" ht="20.05" customHeight="1">
      <c r="B49" t="s" s="9">
        <v>41</v>
      </c>
      <c r="C49" s="23"/>
      <c r="D49" s="21"/>
      <c r="E49" s="21"/>
      <c r="F49" s="24">
        <f>'Sales'!F27/'Sales'!E27-1</f>
        <v>-0.0586641403592528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5156" style="26" customWidth="1"/>
    <col min="2" max="2" width="10.4766" style="26" customWidth="1"/>
    <col min="3" max="10" width="11.2344" style="26" customWidth="1"/>
    <col min="11" max="16384" width="16.3516" style="26" customWidth="1"/>
  </cols>
  <sheetData>
    <row r="1" ht="39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42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34</v>
      </c>
    </row>
    <row r="4" ht="20.25" customHeight="1">
      <c r="B4" s="27">
        <v>2017</v>
      </c>
      <c r="C4" s="28">
        <v>408.4</v>
      </c>
      <c r="D4" s="29"/>
      <c r="E4" s="29">
        <v>22.9</v>
      </c>
      <c r="F4" s="29">
        <v>15.9</v>
      </c>
      <c r="G4" s="8"/>
      <c r="H4" s="8">
        <f>(E4+F4-C4)/C4</f>
        <v>-0.904995102840353</v>
      </c>
      <c r="I4" s="8"/>
      <c r="J4" s="8"/>
    </row>
    <row r="5" ht="20.05" customHeight="1">
      <c r="B5" s="30"/>
      <c r="C5" s="13">
        <v>440.9</v>
      </c>
      <c r="D5" s="14"/>
      <c r="E5" s="14">
        <v>22.8</v>
      </c>
      <c r="F5" s="14">
        <v>17</v>
      </c>
      <c r="G5" s="12">
        <f>C5/C4-1</f>
        <v>0.0795788442703232</v>
      </c>
      <c r="H5" s="12">
        <f>(E5+F5-C5)/C5</f>
        <v>-0.909730097527784</v>
      </c>
      <c r="I5" s="12"/>
      <c r="J5" s="12"/>
    </row>
    <row r="6" ht="20.05" customHeight="1">
      <c r="B6" s="30"/>
      <c r="C6" s="13">
        <v>617.9</v>
      </c>
      <c r="D6" s="14"/>
      <c r="E6" s="14">
        <v>22.6</v>
      </c>
      <c r="F6" s="14">
        <v>30.4</v>
      </c>
      <c r="G6" s="12">
        <f>C6/C5-1</f>
        <v>0.401451576321161</v>
      </c>
      <c r="H6" s="12">
        <f>(E6+F6-C6)/C6</f>
        <v>-0.914225602848357</v>
      </c>
      <c r="I6" s="12"/>
      <c r="J6" s="12"/>
    </row>
    <row r="7" ht="20.05" customHeight="1">
      <c r="B7" s="30"/>
      <c r="C7" s="13">
        <v>673.4</v>
      </c>
      <c r="D7" s="14"/>
      <c r="E7" s="14">
        <v>23.7</v>
      </c>
      <c r="F7" s="14">
        <v>36.7</v>
      </c>
      <c r="G7" s="12">
        <f>C7/C6-1</f>
        <v>0.0898203592814371</v>
      </c>
      <c r="H7" s="12">
        <f>(E7+F7-C7)/C7</f>
        <v>-0.91030591030591</v>
      </c>
      <c r="I7" s="12"/>
      <c r="J7" s="12"/>
    </row>
    <row r="8" ht="20.05" customHeight="1">
      <c r="B8" s="31">
        <v>2018</v>
      </c>
      <c r="C8" s="13">
        <v>457.7</v>
      </c>
      <c r="D8" s="14"/>
      <c r="E8" s="14">
        <v>26.3</v>
      </c>
      <c r="F8" s="14">
        <v>15.88</v>
      </c>
      <c r="G8" s="12">
        <f>C8/C7-1</f>
        <v>-0.32031482031482</v>
      </c>
      <c r="H8" s="12">
        <f>(E8+F8-C8)/C8</f>
        <v>-0.907843565654359</v>
      </c>
      <c r="I8" s="12">
        <f>AVERAGE(H5:H8)</f>
        <v>-0.910526294084103</v>
      </c>
      <c r="J8" s="12"/>
    </row>
    <row r="9" ht="20.05" customHeight="1">
      <c r="B9" s="30"/>
      <c r="C9" s="13">
        <v>457</v>
      </c>
      <c r="D9" s="14"/>
      <c r="E9" s="14">
        <v>25.6</v>
      </c>
      <c r="F9" s="14">
        <v>8.119999999999999</v>
      </c>
      <c r="G9" s="12">
        <f>C9/C8-1</f>
        <v>-0.00152938606073847</v>
      </c>
      <c r="H9" s="12">
        <f>(E9+F9-C9)/C9</f>
        <v>-0.926214442013129</v>
      </c>
      <c r="I9" s="12">
        <f>AVERAGE(H6:H9)</f>
        <v>-0.914647380205439</v>
      </c>
      <c r="J9" s="12"/>
    </row>
    <row r="10" ht="20.05" customHeight="1">
      <c r="B10" s="30"/>
      <c r="C10" s="13">
        <v>606.66</v>
      </c>
      <c r="D10" s="14"/>
      <c r="E10" s="14">
        <v>26.3</v>
      </c>
      <c r="F10" s="14">
        <v>16.54</v>
      </c>
      <c r="G10" s="12">
        <f>C10/C9-1</f>
        <v>0.327483588621444</v>
      </c>
      <c r="H10" s="12">
        <f>(E10+F10-C10)/C10</f>
        <v>-0.92938383938285</v>
      </c>
      <c r="I10" s="12">
        <f>AVERAGE(H7:H10)</f>
        <v>-0.918436939339062</v>
      </c>
      <c r="J10" s="12"/>
    </row>
    <row r="11" ht="20.05" customHeight="1">
      <c r="B11" s="30"/>
      <c r="C11" s="13">
        <v>914.13</v>
      </c>
      <c r="D11" s="14"/>
      <c r="E11" s="14">
        <v>27.4</v>
      </c>
      <c r="F11" s="14">
        <v>43.86</v>
      </c>
      <c r="G11" s="12">
        <f>C11/C10-1</f>
        <v>0.506824250815943</v>
      </c>
      <c r="H11" s="12">
        <f>(E11+F11-C11)/C11</f>
        <v>-0.922046098476147</v>
      </c>
      <c r="I11" s="12">
        <f>AVERAGE(H8:H11)</f>
        <v>-0.921371986381621</v>
      </c>
      <c r="J11" s="12"/>
    </row>
    <row r="12" ht="20.05" customHeight="1">
      <c r="B12" s="31">
        <v>2019</v>
      </c>
      <c r="C12" s="13">
        <v>470.7</v>
      </c>
      <c r="D12" s="14"/>
      <c r="E12" s="14">
        <v>28.7</v>
      </c>
      <c r="F12" s="14">
        <v>16.9</v>
      </c>
      <c r="G12" s="12">
        <f>C12/C11-1</f>
        <v>-0.485084178399134</v>
      </c>
      <c r="H12" s="12">
        <f>(E12+F12-C12)/C12</f>
        <v>-0.903123008285532</v>
      </c>
      <c r="I12" s="12">
        <f>AVERAGE(H9:H12)</f>
        <v>-0.920191847039415</v>
      </c>
      <c r="J12" s="12"/>
    </row>
    <row r="13" ht="20.05" customHeight="1">
      <c r="B13" s="30"/>
      <c r="C13" s="13">
        <v>624</v>
      </c>
      <c r="D13" s="14"/>
      <c r="E13" s="14">
        <v>31.8</v>
      </c>
      <c r="F13" s="14">
        <v>29.4</v>
      </c>
      <c r="G13" s="12">
        <f>C13/C12-1</f>
        <v>0.325685149776928</v>
      </c>
      <c r="H13" s="12">
        <f>(E13+F13-C13)/C13</f>
        <v>-0.901923076923077</v>
      </c>
      <c r="I13" s="12">
        <f>AVERAGE(H10:H13)</f>
        <v>-0.914119005766902</v>
      </c>
      <c r="J13" s="12"/>
    </row>
    <row r="14" ht="20.05" customHeight="1">
      <c r="B14" s="30"/>
      <c r="C14" s="13">
        <v>593.2</v>
      </c>
      <c r="D14" s="14"/>
      <c r="E14" s="14">
        <v>36.5</v>
      </c>
      <c r="F14" s="14">
        <v>43.4</v>
      </c>
      <c r="G14" s="12">
        <f>C14/C13-1</f>
        <v>-0.0493589743589744</v>
      </c>
      <c r="H14" s="12">
        <f>(E14+F14-C14)/C14</f>
        <v>-0.865306810519218</v>
      </c>
      <c r="I14" s="12">
        <f>AVERAGE(H11:H14)</f>
        <v>-0.8980997485509939</v>
      </c>
      <c r="J14" s="12"/>
    </row>
    <row r="15" ht="20.05" customHeight="1">
      <c r="B15" s="30"/>
      <c r="C15" s="13">
        <v>767.6</v>
      </c>
      <c r="D15" s="14"/>
      <c r="E15" s="14">
        <v>40.1</v>
      </c>
      <c r="F15" s="14">
        <v>35.5</v>
      </c>
      <c r="G15" s="12">
        <f>C15/C14-1</f>
        <v>0.293998651382333</v>
      </c>
      <c r="H15" s="12">
        <f>(E15+F15-C15)/C15</f>
        <v>-0.901511203751954</v>
      </c>
      <c r="I15" s="12">
        <f>AVERAGE(H12:H15)</f>
        <v>-0.892966024869945</v>
      </c>
      <c r="J15" s="12"/>
    </row>
    <row r="16" ht="20.05" customHeight="1">
      <c r="B16" s="31">
        <v>2020</v>
      </c>
      <c r="C16" s="13">
        <v>508.9</v>
      </c>
      <c r="D16" s="14"/>
      <c r="E16" s="14">
        <v>41</v>
      </c>
      <c r="F16" s="14">
        <v>27.8</v>
      </c>
      <c r="G16" s="12">
        <f>C16/C15-1</f>
        <v>-0.337024491922876</v>
      </c>
      <c r="H16" s="12">
        <f>(E16+F16-C16)/C16</f>
        <v>-0.864806445274121</v>
      </c>
      <c r="I16" s="12">
        <f>AVERAGE(H13:H16)</f>
        <v>-0.883386884117093</v>
      </c>
      <c r="J16" s="12"/>
    </row>
    <row r="17" ht="20.05" customHeight="1">
      <c r="B17" s="30"/>
      <c r="C17" s="13">
        <v>647.5</v>
      </c>
      <c r="D17" s="14"/>
      <c r="E17" s="14">
        <v>41.3</v>
      </c>
      <c r="F17" s="14">
        <v>46.4</v>
      </c>
      <c r="G17" s="12">
        <f>C17/C16-1</f>
        <v>0.272352132049519</v>
      </c>
      <c r="H17" s="12">
        <f>(E17+F17-C17)/C17</f>
        <v>-0.864555984555985</v>
      </c>
      <c r="I17" s="12">
        <f>AVERAGE(H14:H17)</f>
        <v>-0.87404511102532</v>
      </c>
      <c r="J17" s="12"/>
    </row>
    <row r="18" ht="20.05" customHeight="1">
      <c r="B18" s="30"/>
      <c r="C18" s="13">
        <v>678.3</v>
      </c>
      <c r="D18" s="14"/>
      <c r="E18" s="14">
        <v>40.8</v>
      </c>
      <c r="F18" s="14">
        <v>39.1</v>
      </c>
      <c r="G18" s="12">
        <f>C18/C17-1</f>
        <v>0.0475675675675676</v>
      </c>
      <c r="H18" s="12">
        <f>(E18+F18-C18)/C18</f>
        <v>-0.882205513784461</v>
      </c>
      <c r="I18" s="12">
        <f>AVERAGE(H15:H18)</f>
        <v>-0.87826978684163</v>
      </c>
      <c r="J18" s="12"/>
    </row>
    <row r="19" ht="20.05" customHeight="1">
      <c r="B19" s="30"/>
      <c r="C19" s="13">
        <v>851.1</v>
      </c>
      <c r="D19" s="14"/>
      <c r="E19" s="14">
        <v>40.9</v>
      </c>
      <c r="F19" s="14">
        <v>47.3</v>
      </c>
      <c r="G19" s="12">
        <f>C19/C18-1</f>
        <v>0.254754533392304</v>
      </c>
      <c r="H19" s="12">
        <f>(E19+F19-C19)/C19</f>
        <v>-0.896369404300317</v>
      </c>
      <c r="I19" s="12">
        <f>AVERAGE(H16:H19)</f>
        <v>-0.876984336978721</v>
      </c>
      <c r="J19" s="12"/>
    </row>
    <row r="20" ht="20.05" customHeight="1">
      <c r="B20" s="31">
        <v>2021</v>
      </c>
      <c r="C20" s="13">
        <v>556.9</v>
      </c>
      <c r="D20" s="14"/>
      <c r="E20" s="14">
        <v>37.5</v>
      </c>
      <c r="F20" s="14">
        <v>28.1</v>
      </c>
      <c r="G20" s="12">
        <f>C20/C19-1</f>
        <v>-0.345670309011867</v>
      </c>
      <c r="H20" s="12">
        <f>(E20+F20-C20)/C20</f>
        <v>-0.882205063745735</v>
      </c>
      <c r="I20" s="12">
        <f>AVERAGE(H17:H20)</f>
        <v>-0.881333991596625</v>
      </c>
      <c r="J20" s="12"/>
    </row>
    <row r="21" ht="20.05" customHeight="1">
      <c r="B21" s="30"/>
      <c r="C21" s="13">
        <f>1201.3-C20</f>
        <v>644.4</v>
      </c>
      <c r="D21" s="14">
        <v>707.263</v>
      </c>
      <c r="E21" s="16">
        <v>37.5</v>
      </c>
      <c r="F21" s="14">
        <f>82.1-F20</f>
        <v>54</v>
      </c>
      <c r="G21" s="12">
        <f>C21/C20-1</f>
        <v>0.157119770156222</v>
      </c>
      <c r="H21" s="12">
        <f>(E21+F21-C21)/C21</f>
        <v>-0.858007448789572</v>
      </c>
      <c r="I21" s="12">
        <f>AVERAGE(H18:H21)</f>
        <v>-0.879696857655021</v>
      </c>
      <c r="J21" s="12"/>
    </row>
    <row r="22" ht="20.05" customHeight="1">
      <c r="B22" s="30"/>
      <c r="C22" s="13">
        <f>1944.3-SUM(C20:C21)</f>
        <v>743</v>
      </c>
      <c r="D22" s="14">
        <v>676.62</v>
      </c>
      <c r="E22" s="16">
        <v>37.5</v>
      </c>
      <c r="F22" s="14">
        <f>178.1-SUM(F20:F21)</f>
        <v>96</v>
      </c>
      <c r="G22" s="12">
        <f>C22/C21-1</f>
        <v>0.153010552451893</v>
      </c>
      <c r="H22" s="12">
        <f>(E22+F22-C22)/C22</f>
        <v>-0.820323014804845</v>
      </c>
      <c r="I22" s="12">
        <f>AVERAGE(H19:H22)</f>
        <v>-0.864226232910117</v>
      </c>
      <c r="J22" s="12"/>
    </row>
    <row r="23" ht="20.05" customHeight="1">
      <c r="B23" s="30"/>
      <c r="C23" s="13">
        <f>2997-C22-C21-C20</f>
        <v>1052.7</v>
      </c>
      <c r="D23" s="14">
        <v>928.75</v>
      </c>
      <c r="E23" s="16">
        <v>37.5</v>
      </c>
      <c r="F23" s="14">
        <f>261-F22-F21-F20</f>
        <v>82.90000000000001</v>
      </c>
      <c r="G23" s="12">
        <f>C23/C22-1</f>
        <v>0.416823687752355</v>
      </c>
      <c r="H23" s="12">
        <f>(E23+F23-C23)/C23</f>
        <v>-0.885627434216776</v>
      </c>
      <c r="I23" s="12">
        <f>AVERAGE(H20:H23)</f>
        <v>-0.861540740389232</v>
      </c>
      <c r="J23" s="12"/>
    </row>
    <row r="24" ht="20.05" customHeight="1">
      <c r="B24" s="31">
        <v>2022</v>
      </c>
      <c r="C24" s="13">
        <v>911.3</v>
      </c>
      <c r="D24" s="14">
        <v>842.16</v>
      </c>
      <c r="E24" s="14">
        <f>38.1+0.1</f>
        <v>38.2</v>
      </c>
      <c r="F24" s="14">
        <v>68.40000000000001</v>
      </c>
      <c r="G24" s="12">
        <f>C24/C23-1</f>
        <v>-0.134321269117507</v>
      </c>
      <c r="H24" s="12">
        <f>(E24+F24-C24)/C24</f>
        <v>-0.8830242510699</v>
      </c>
      <c r="I24" s="12">
        <f>AVERAGE(H21:H24)</f>
        <v>-0.861745537220273</v>
      </c>
      <c r="J24" s="12">
        <v>-0.861540740389232</v>
      </c>
    </row>
    <row r="25" ht="20.05" customHeight="1">
      <c r="B25" s="30"/>
      <c r="C25" s="23"/>
      <c r="D25" s="14">
        <f>'Model'!C6</f>
        <v>938.639</v>
      </c>
      <c r="E25" s="21"/>
      <c r="F25" s="21"/>
      <c r="G25" s="12"/>
      <c r="H25" s="12"/>
      <c r="I25" s="12"/>
      <c r="J25" s="12">
        <f>'Model'!C7</f>
        <v>-0.861745537220273</v>
      </c>
    </row>
    <row r="26" ht="20.05" customHeight="1">
      <c r="B26" s="30"/>
      <c r="C26" s="23"/>
      <c r="D26" s="14">
        <f>'Model'!D6</f>
        <v>1032.5029</v>
      </c>
      <c r="E26" s="21"/>
      <c r="F26" s="21"/>
      <c r="G26" s="12"/>
      <c r="H26" s="12"/>
      <c r="I26" s="12"/>
      <c r="J26" s="12"/>
    </row>
    <row r="27" ht="20.05" customHeight="1">
      <c r="B27" s="30"/>
      <c r="C27" s="23"/>
      <c r="D27" s="14">
        <f>'Model'!E6</f>
        <v>1239.00348</v>
      </c>
      <c r="E27" s="14">
        <f>SUM(C21:C24)</f>
        <v>3351.4</v>
      </c>
      <c r="F27" s="14">
        <f>SUM(D21:D24)</f>
        <v>3154.793</v>
      </c>
      <c r="G27" s="12"/>
      <c r="H27" s="12"/>
      <c r="I27" s="12"/>
      <c r="J27" s="12"/>
    </row>
    <row r="28" ht="20.05" customHeight="1">
      <c r="B28" s="31">
        <v>2023</v>
      </c>
      <c r="C28" s="23"/>
      <c r="D28" s="14">
        <f>'Model'!F6</f>
        <v>1053.152958</v>
      </c>
      <c r="E28" s="21"/>
      <c r="F28" s="21"/>
      <c r="G28" s="12"/>
      <c r="H28" s="12"/>
      <c r="I28" s="12"/>
      <c r="J28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P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72656" style="32" customWidth="1"/>
    <col min="2" max="16" width="10.2969" style="32" customWidth="1"/>
    <col min="17" max="16384" width="16.3516" style="32" customWidth="1"/>
  </cols>
  <sheetData>
    <row r="1" ht="17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47</v>
      </c>
      <c r="G3" t="s" s="5">
        <v>48</v>
      </c>
      <c r="H3" t="s" s="5">
        <v>12</v>
      </c>
      <c r="I3" t="s" s="5">
        <v>15</v>
      </c>
      <c r="J3" t="s" s="5">
        <v>49</v>
      </c>
      <c r="K3" t="s" s="5">
        <v>50</v>
      </c>
      <c r="L3" t="s" s="5">
        <v>51</v>
      </c>
      <c r="M3" t="s" s="5">
        <v>34</v>
      </c>
      <c r="N3" t="s" s="5">
        <v>29</v>
      </c>
      <c r="O3" t="s" s="5">
        <v>34</v>
      </c>
      <c r="P3" s="33"/>
    </row>
    <row r="4" ht="20.25" customHeight="1">
      <c r="B4" s="27">
        <v>2017</v>
      </c>
      <c r="C4" s="28">
        <v>391.4</v>
      </c>
      <c r="D4" s="29">
        <v>14.4</v>
      </c>
      <c r="E4" s="29">
        <v>-8.699999999999999</v>
      </c>
      <c r="F4" s="29">
        <v>5.8</v>
      </c>
      <c r="G4" s="29">
        <v>-4.4</v>
      </c>
      <c r="H4" s="29"/>
      <c r="I4" s="29"/>
      <c r="J4" s="29">
        <v>8.5</v>
      </c>
      <c r="K4" s="29">
        <f>D4+E4</f>
        <v>5.7</v>
      </c>
      <c r="L4" s="34"/>
      <c r="M4" s="29"/>
      <c r="N4" s="29">
        <f>-(J4-F4-G4)</f>
        <v>-7.1</v>
      </c>
      <c r="O4" s="29"/>
      <c r="P4" s="29">
        <v>1</v>
      </c>
    </row>
    <row r="5" ht="20.05" customHeight="1">
      <c r="B5" s="30"/>
      <c r="C5" s="13">
        <v>462.7</v>
      </c>
      <c r="D5" s="14">
        <v>-22</v>
      </c>
      <c r="E5" s="14">
        <v>-12.6</v>
      </c>
      <c r="F5" s="14">
        <v>2.8</v>
      </c>
      <c r="G5" s="14">
        <v>-5.1</v>
      </c>
      <c r="H5" s="14"/>
      <c r="I5" s="14"/>
      <c r="J5" s="14">
        <v>-64</v>
      </c>
      <c r="K5" s="14">
        <f>D5+E5</f>
        <v>-34.6</v>
      </c>
      <c r="L5" s="20"/>
      <c r="M5" s="14"/>
      <c r="N5" s="14">
        <f>-(J5-F5-G5)+N4</f>
        <v>54.6</v>
      </c>
      <c r="O5" s="14"/>
      <c r="P5" s="14">
        <f>1+P4</f>
        <v>2</v>
      </c>
    </row>
    <row r="6" ht="20.05" customHeight="1">
      <c r="B6" s="30"/>
      <c r="C6" s="13">
        <v>459.1</v>
      </c>
      <c r="D6" s="14">
        <v>-73.59999999999999</v>
      </c>
      <c r="E6" s="14">
        <v>-21.7</v>
      </c>
      <c r="F6" s="14">
        <v>3.1</v>
      </c>
      <c r="G6" s="14">
        <v>-6.5</v>
      </c>
      <c r="H6" s="14"/>
      <c r="I6" s="14"/>
      <c r="J6" s="14">
        <v>-5.6</v>
      </c>
      <c r="K6" s="14">
        <f>D6+E6</f>
        <v>-95.3</v>
      </c>
      <c r="L6" s="20"/>
      <c r="M6" s="14"/>
      <c r="N6" s="14">
        <f>-(J6-F6-G6)+N5</f>
        <v>56.8</v>
      </c>
      <c r="O6" s="14"/>
      <c r="P6" s="14">
        <f>1+P5</f>
        <v>3</v>
      </c>
    </row>
    <row r="7" ht="20.05" customHeight="1">
      <c r="B7" s="30"/>
      <c r="C7" s="13">
        <v>839.3</v>
      </c>
      <c r="D7" s="14">
        <v>280.4</v>
      </c>
      <c r="E7" s="14">
        <v>-54.5</v>
      </c>
      <c r="F7" s="14">
        <v>2.6</v>
      </c>
      <c r="G7" s="14">
        <v>-7.6</v>
      </c>
      <c r="H7" s="14"/>
      <c r="I7" s="14"/>
      <c r="J7" s="14">
        <v>-6.6</v>
      </c>
      <c r="K7" s="14">
        <f>D7+E7</f>
        <v>225.9</v>
      </c>
      <c r="L7" s="20"/>
      <c r="M7" s="14"/>
      <c r="N7" s="14">
        <f>-(J7-F7-G7)+N6</f>
        <v>58.4</v>
      </c>
      <c r="O7" s="14"/>
      <c r="P7" s="14">
        <f>1+P6</f>
        <v>4</v>
      </c>
    </row>
    <row r="8" ht="20.05" customHeight="1">
      <c r="B8" s="31">
        <v>2018</v>
      </c>
      <c r="C8" s="13">
        <v>377.54</v>
      </c>
      <c r="D8" s="14">
        <v>-37.56</v>
      </c>
      <c r="E8" s="14">
        <v>-25.74</v>
      </c>
      <c r="F8" s="14">
        <v>4.5</v>
      </c>
      <c r="G8" s="14">
        <v>-8.199999999999999</v>
      </c>
      <c r="H8" s="14"/>
      <c r="I8" s="14"/>
      <c r="J8" s="14">
        <v>-4.5</v>
      </c>
      <c r="K8" s="14">
        <f>D8+E8</f>
        <v>-63.3</v>
      </c>
      <c r="L8" s="14">
        <f>SUM(D5:E8)/4</f>
        <v>8.175000000000001</v>
      </c>
      <c r="M8" s="14"/>
      <c r="N8" s="14">
        <f>-(J8-F8-G8)+N7</f>
        <v>59.2</v>
      </c>
      <c r="O8" s="14"/>
      <c r="P8" s="14">
        <f>1+P7</f>
        <v>5</v>
      </c>
    </row>
    <row r="9" ht="20.05" customHeight="1">
      <c r="B9" s="30"/>
      <c r="C9" s="13">
        <v>369.36</v>
      </c>
      <c r="D9" s="14">
        <v>-90.44</v>
      </c>
      <c r="E9" s="14">
        <v>5.74</v>
      </c>
      <c r="F9" s="14">
        <v>3.6</v>
      </c>
      <c r="G9" s="14">
        <v>-6.13</v>
      </c>
      <c r="H9" s="14"/>
      <c r="I9" s="14"/>
      <c r="J9" s="14">
        <v>-36.1</v>
      </c>
      <c r="K9" s="14">
        <f>D9+E9</f>
        <v>-84.7</v>
      </c>
      <c r="L9" s="14">
        <f>SUM(D6:E9)/4</f>
        <v>-4.35</v>
      </c>
      <c r="M9" s="14"/>
      <c r="N9" s="14">
        <f>-(J9-F9-G9)+N8</f>
        <v>92.77</v>
      </c>
      <c r="O9" s="14"/>
      <c r="P9" s="14">
        <f>1+P8</f>
        <v>6</v>
      </c>
    </row>
    <row r="10" ht="20.05" customHeight="1">
      <c r="B10" s="30"/>
      <c r="C10" s="13">
        <v>565.9</v>
      </c>
      <c r="D10" s="14">
        <v>37.3</v>
      </c>
      <c r="E10" s="14">
        <v>-23.6</v>
      </c>
      <c r="F10" s="14">
        <v>2.1</v>
      </c>
      <c r="G10" s="14">
        <v>-7.93</v>
      </c>
      <c r="H10" s="14"/>
      <c r="I10" s="14"/>
      <c r="J10" s="14">
        <v>-2.4</v>
      </c>
      <c r="K10" s="14">
        <f>D10+E10</f>
        <v>13.7</v>
      </c>
      <c r="L10" s="14">
        <f>SUM(D7:E10)/4</f>
        <v>22.9</v>
      </c>
      <c r="M10" s="14"/>
      <c r="N10" s="14">
        <f>-(J10-F10-G10)+N9</f>
        <v>89.34</v>
      </c>
      <c r="O10" s="14"/>
      <c r="P10" s="14">
        <f>1+P9</f>
        <v>7</v>
      </c>
    </row>
    <row r="11" ht="20.05" customHeight="1">
      <c r="B11" s="30"/>
      <c r="C11" s="13">
        <v>978.48</v>
      </c>
      <c r="D11" s="14">
        <v>217.7</v>
      </c>
      <c r="E11" s="14">
        <v>-94.40000000000001</v>
      </c>
      <c r="F11" s="14">
        <v>1.54</v>
      </c>
      <c r="G11" s="14">
        <v>-14.64</v>
      </c>
      <c r="H11" s="14"/>
      <c r="I11" s="14"/>
      <c r="J11" s="14">
        <v>4.7</v>
      </c>
      <c r="K11" s="14">
        <f>D11+E11</f>
        <v>123.3</v>
      </c>
      <c r="L11" s="14">
        <f>SUM(D8:E11)/4</f>
        <v>-2.75</v>
      </c>
      <c r="M11" s="14"/>
      <c r="N11" s="14">
        <f>-(J11-F11-G11)+N10</f>
        <v>71.54000000000001</v>
      </c>
      <c r="O11" s="14"/>
      <c r="P11" s="14">
        <f>1+P10</f>
        <v>8</v>
      </c>
    </row>
    <row r="12" ht="20.05" customHeight="1">
      <c r="B12" s="31">
        <v>2019</v>
      </c>
      <c r="C12" s="13">
        <v>510.1</v>
      </c>
      <c r="D12" s="14">
        <v>90</v>
      </c>
      <c r="E12" s="14">
        <v>-86.09999999999999</v>
      </c>
      <c r="F12" s="14">
        <v>4.4</v>
      </c>
      <c r="G12" s="14">
        <v>-11.6</v>
      </c>
      <c r="H12" s="14">
        <v>13.9315</v>
      </c>
      <c r="I12" s="14">
        <v>-14.87525</v>
      </c>
      <c r="J12" s="14">
        <v>11</v>
      </c>
      <c r="K12" s="14">
        <f>D12+E12</f>
        <v>3.9</v>
      </c>
      <c r="L12" s="14">
        <f>SUM(D9:E12)/4</f>
        <v>14.05</v>
      </c>
      <c r="M12" s="14"/>
      <c r="N12" s="14">
        <f>-(J12-F12-G12)+N11</f>
        <v>53.34</v>
      </c>
      <c r="O12" s="14"/>
      <c r="P12" s="14">
        <f>1+P11</f>
        <v>9</v>
      </c>
    </row>
    <row r="13" ht="20.05" customHeight="1">
      <c r="B13" s="30"/>
      <c r="C13" s="13">
        <v>441.4</v>
      </c>
      <c r="D13" s="14">
        <v>40</v>
      </c>
      <c r="E13" s="14">
        <v>-41.8</v>
      </c>
      <c r="F13" s="14">
        <v>1.8</v>
      </c>
      <c r="G13" s="14">
        <v>-13.3</v>
      </c>
      <c r="H13" s="14">
        <v>13.9315</v>
      </c>
      <c r="I13" s="14">
        <v>-14.87525</v>
      </c>
      <c r="J13" s="14">
        <v>-31.9</v>
      </c>
      <c r="K13" s="14">
        <f>D13+E13</f>
        <v>-1.8</v>
      </c>
      <c r="L13" s="14">
        <f>SUM(D10:E13)/4</f>
        <v>34.775</v>
      </c>
      <c r="M13" s="14"/>
      <c r="N13" s="14">
        <f>-(J13-F13-G13)+N12</f>
        <v>73.73999999999999</v>
      </c>
      <c r="O13" s="14"/>
      <c r="P13" s="14">
        <f>1+P12</f>
        <v>10</v>
      </c>
    </row>
    <row r="14" ht="20.05" customHeight="1">
      <c r="B14" s="30"/>
      <c r="C14" s="13">
        <v>716.8</v>
      </c>
      <c r="D14" s="14">
        <v>-160.9</v>
      </c>
      <c r="E14" s="14">
        <v>-141.4</v>
      </c>
      <c r="F14" s="14">
        <v>-1.8</v>
      </c>
      <c r="G14" s="14">
        <v>-10.8</v>
      </c>
      <c r="H14" s="14">
        <v>13.9315</v>
      </c>
      <c r="I14" s="14">
        <v>-14.87525</v>
      </c>
      <c r="J14" s="14">
        <v>-11.7</v>
      </c>
      <c r="K14" s="14">
        <f>D14+E14</f>
        <v>-302.3</v>
      </c>
      <c r="L14" s="14">
        <f>SUM(D11:E14)/4</f>
        <v>-44.225</v>
      </c>
      <c r="M14" s="14"/>
      <c r="N14" s="14">
        <f>-(J14-F14-G14)+N13</f>
        <v>72.84</v>
      </c>
      <c r="O14" s="14"/>
      <c r="P14" s="14">
        <f>1+P13</f>
        <v>11</v>
      </c>
    </row>
    <row r="15" ht="20.05" customHeight="1">
      <c r="B15" s="30"/>
      <c r="C15" s="13">
        <v>833.3</v>
      </c>
      <c r="D15" s="14">
        <v>181</v>
      </c>
      <c r="E15" s="14">
        <v>-45.3</v>
      </c>
      <c r="F15" s="14">
        <v>-2</v>
      </c>
      <c r="G15" s="14">
        <v>-12.2</v>
      </c>
      <c r="H15" s="14">
        <v>13.9315</v>
      </c>
      <c r="I15" s="14">
        <v>-14.87525</v>
      </c>
      <c r="J15" s="14">
        <v>-16.1</v>
      </c>
      <c r="K15" s="14">
        <f>D15+E15</f>
        <v>135.7</v>
      </c>
      <c r="L15" s="14">
        <f>SUM(D12:E15)/4</f>
        <v>-41.125</v>
      </c>
      <c r="M15" s="14"/>
      <c r="N15" s="14">
        <f>-(J15-F15-G15)+N14</f>
        <v>74.73999999999999</v>
      </c>
      <c r="O15" s="14"/>
      <c r="P15" s="14">
        <f>1+P14</f>
        <v>12</v>
      </c>
    </row>
    <row r="16" ht="20.05" customHeight="1">
      <c r="B16" s="31">
        <v>2020</v>
      </c>
      <c r="C16" s="13">
        <v>534.3</v>
      </c>
      <c r="D16" s="14">
        <v>94.90000000000001</v>
      </c>
      <c r="E16" s="14">
        <v>-45.9</v>
      </c>
      <c r="F16" s="14">
        <v>0.4</v>
      </c>
      <c r="G16" s="14">
        <v>-12.1</v>
      </c>
      <c r="H16" s="14">
        <v>7.75</v>
      </c>
      <c r="I16" s="14">
        <v>-62.34375</v>
      </c>
      <c r="J16" s="14">
        <v>-23.8</v>
      </c>
      <c r="K16" s="14">
        <f>D16+E16</f>
        <v>49</v>
      </c>
      <c r="L16" s="14">
        <f>SUM(D13:E16)/4</f>
        <v>-29.85</v>
      </c>
      <c r="M16" s="14"/>
      <c r="N16" s="14">
        <f>-(J16-F16-G16)+N15</f>
        <v>86.84</v>
      </c>
      <c r="O16" s="14"/>
      <c r="P16" s="14">
        <f>1+P15</f>
        <v>13</v>
      </c>
    </row>
    <row r="17" ht="20.05" customHeight="1">
      <c r="B17" s="30"/>
      <c r="C17" s="13">
        <v>675.7</v>
      </c>
      <c r="D17" s="14">
        <v>86.90000000000001</v>
      </c>
      <c r="E17" s="14">
        <v>-11.4</v>
      </c>
      <c r="F17" s="14">
        <v>1.1</v>
      </c>
      <c r="G17" s="14">
        <v>-8.6</v>
      </c>
      <c r="H17" s="14">
        <v>7.75</v>
      </c>
      <c r="I17" s="14">
        <v>-62.34375</v>
      </c>
      <c r="J17" s="14">
        <v>-165.4</v>
      </c>
      <c r="K17" s="14">
        <f>D17+E17</f>
        <v>75.5</v>
      </c>
      <c r="L17" s="14">
        <f>SUM(D14:E17)/4</f>
        <v>-10.525</v>
      </c>
      <c r="M17" s="14"/>
      <c r="N17" s="14">
        <f>-(J17-F17-G17)+N16</f>
        <v>244.74</v>
      </c>
      <c r="O17" s="14"/>
      <c r="P17" s="14">
        <f>1+P16</f>
        <v>14</v>
      </c>
    </row>
    <row r="18" ht="20.05" customHeight="1">
      <c r="B18" s="30"/>
      <c r="C18" s="13">
        <v>649.5</v>
      </c>
      <c r="D18" s="14">
        <v>-28</v>
      </c>
      <c r="E18" s="14">
        <v>7.1</v>
      </c>
      <c r="F18" s="14">
        <v>-2.2</v>
      </c>
      <c r="G18" s="14">
        <v>-8</v>
      </c>
      <c r="H18" s="14">
        <v>7.75</v>
      </c>
      <c r="I18" s="14">
        <v>-62.34375</v>
      </c>
      <c r="J18" s="14">
        <v>-29.5</v>
      </c>
      <c r="K18" s="14">
        <f>D18+E18</f>
        <v>-20.9</v>
      </c>
      <c r="L18" s="14">
        <f>SUM(D15:E18)/4</f>
        <v>59.825</v>
      </c>
      <c r="M18" s="14"/>
      <c r="N18" s="14">
        <f>-(J18-F18-G18)+N17</f>
        <v>264.04</v>
      </c>
      <c r="O18" s="14"/>
      <c r="P18" s="14">
        <f>1+P17</f>
        <v>15</v>
      </c>
    </row>
    <row r="19" ht="20.05" customHeight="1">
      <c r="B19" s="30"/>
      <c r="C19" s="13">
        <v>960.2</v>
      </c>
      <c r="D19" s="14">
        <v>426.7</v>
      </c>
      <c r="E19" s="14">
        <v>-44.2</v>
      </c>
      <c r="F19" s="14">
        <v>-2.9</v>
      </c>
      <c r="G19" s="14">
        <v>-10.5</v>
      </c>
      <c r="H19" s="14">
        <v>7.75</v>
      </c>
      <c r="I19" s="14">
        <v>-62.34375</v>
      </c>
      <c r="J19" s="14">
        <v>-42.4</v>
      </c>
      <c r="K19" s="14">
        <f>D19+E19</f>
        <v>382.5</v>
      </c>
      <c r="L19" s="14">
        <f>SUM(D16:E19)/4</f>
        <v>121.525</v>
      </c>
      <c r="M19" s="14"/>
      <c r="N19" s="14">
        <f>-(J19-F19-G19)+N18</f>
        <v>293.04</v>
      </c>
      <c r="O19" s="14"/>
      <c r="P19" s="14">
        <f>1+P18</f>
        <v>16</v>
      </c>
    </row>
    <row r="20" ht="20.05" customHeight="1">
      <c r="B20" s="31">
        <v>2021</v>
      </c>
      <c r="C20" s="13">
        <v>526.8</v>
      </c>
      <c r="D20" s="14">
        <v>8.6</v>
      </c>
      <c r="E20" s="14">
        <v>-54.1</v>
      </c>
      <c r="F20" s="14">
        <v>0.3</v>
      </c>
      <c r="G20" s="14">
        <v>-5.2</v>
      </c>
      <c r="H20" s="14">
        <v>-16.25</v>
      </c>
      <c r="I20" s="14">
        <v>0</v>
      </c>
      <c r="J20" s="14">
        <v>-21.1</v>
      </c>
      <c r="K20" s="14">
        <f>D20+E20</f>
        <v>-45.5</v>
      </c>
      <c r="L20" s="14">
        <f>SUM(D17:E20)/4</f>
        <v>97.90000000000001</v>
      </c>
      <c r="M20" s="14"/>
      <c r="N20" s="14">
        <f>-(J20-F20-G20)+N19</f>
        <v>309.24</v>
      </c>
      <c r="O20" s="14"/>
      <c r="P20" s="14">
        <f>1+P19</f>
        <v>17</v>
      </c>
    </row>
    <row r="21" ht="20.05" customHeight="1">
      <c r="B21" s="30"/>
      <c r="C21" s="13">
        <f>1207.9-C20</f>
        <v>681.1</v>
      </c>
      <c r="D21" s="14">
        <f>89.3-D20</f>
        <v>80.7</v>
      </c>
      <c r="E21" s="14">
        <f>-60.6-E20</f>
        <v>-6.5</v>
      </c>
      <c r="F21" s="14">
        <v>0.3</v>
      </c>
      <c r="G21" s="14">
        <f>-12-G20</f>
        <v>-6.8</v>
      </c>
      <c r="H21" s="14">
        <f>-25.168-H20</f>
        <v>-8.917999999999999</v>
      </c>
      <c r="I21" s="14">
        <v>-215.625</v>
      </c>
      <c r="J21" s="14">
        <f>-252.1-J20</f>
        <v>-231</v>
      </c>
      <c r="K21" s="14">
        <f>D21+E21</f>
        <v>74.2</v>
      </c>
      <c r="L21" s="14">
        <f>SUM(D18:E21)/4</f>
        <v>97.575</v>
      </c>
      <c r="M21" s="14"/>
      <c r="N21" s="14">
        <f>-(J21-F21-G21)+N20</f>
        <v>533.74</v>
      </c>
      <c r="O21" s="14"/>
      <c r="P21" s="14">
        <f>1+P20</f>
        <v>18</v>
      </c>
    </row>
    <row r="22" ht="20.05" customHeight="1">
      <c r="B22" s="30"/>
      <c r="C22" s="13">
        <f>1876.4-SUM(C20:C21)</f>
        <v>668.5</v>
      </c>
      <c r="D22" s="14">
        <f>108.6-SUM(D20:D21)</f>
        <v>19.3</v>
      </c>
      <c r="E22" s="14">
        <f>-76.5-SUM(E20:E21)</f>
        <v>-15.9</v>
      </c>
      <c r="F22" s="14">
        <v>0.6</v>
      </c>
      <c r="G22" s="14">
        <f>-18.8-SUM(G20:G21)</f>
        <v>-6.8</v>
      </c>
      <c r="H22" s="14">
        <f>-61.916-H21-H20</f>
        <v>-36.748</v>
      </c>
      <c r="I22" s="14">
        <f>-284.039-F22-F21-F20-G22-G21-G20-H22-H21-H20-I21</f>
        <v>11.102</v>
      </c>
      <c r="J22" s="14">
        <f>-284-SUM(J20:J21)</f>
        <v>-31.9</v>
      </c>
      <c r="K22" s="14">
        <f>D22+E22</f>
        <v>3.4</v>
      </c>
      <c r="L22" s="14">
        <f>SUM(D19:E22)/4</f>
        <v>103.65</v>
      </c>
      <c r="M22" s="14"/>
      <c r="N22" s="14">
        <f>-(J22-F22-G22)+N21</f>
        <v>559.4400000000001</v>
      </c>
      <c r="O22" s="14"/>
      <c r="P22" s="14">
        <f>1+P21</f>
        <v>19</v>
      </c>
    </row>
    <row r="23" ht="20.05" customHeight="1">
      <c r="B23" s="30"/>
      <c r="C23" s="13">
        <f>3143-C22-C21-C20</f>
        <v>1266.6</v>
      </c>
      <c r="D23" s="14">
        <f>487-D22-D21-D20</f>
        <v>378.4</v>
      </c>
      <c r="E23" s="14">
        <f>-118-E22-E21-E20</f>
        <v>-41.5</v>
      </c>
      <c r="F23" s="14">
        <v>1</v>
      </c>
      <c r="G23" s="14">
        <f>-26-G22-G21-G20</f>
        <v>-7.2</v>
      </c>
      <c r="H23" s="14">
        <f>-68-H22-H21-H20</f>
        <v>-6.084</v>
      </c>
      <c r="I23" s="14">
        <f>-216-I22-I21-I20</f>
        <v>-11.477</v>
      </c>
      <c r="J23" s="14">
        <f>-296-J22-J21-J20</f>
        <v>-12</v>
      </c>
      <c r="K23" s="14">
        <f>D23+E23</f>
        <v>336.9</v>
      </c>
      <c r="L23" s="14">
        <f>SUM(D20:E23)/4</f>
        <v>92.25</v>
      </c>
      <c r="M23" s="14"/>
      <c r="N23" s="14">
        <f>-(J23-F23-G23)+N22</f>
        <v>565.24</v>
      </c>
      <c r="O23" s="14"/>
      <c r="P23" s="14">
        <f>1+P22</f>
        <v>20</v>
      </c>
    </row>
    <row r="24" ht="20.05" customHeight="1">
      <c r="B24" s="31">
        <v>2022</v>
      </c>
      <c r="C24" s="13">
        <v>603</v>
      </c>
      <c r="D24" s="14">
        <v>-290.7</v>
      </c>
      <c r="E24" s="14">
        <v>-29.5</v>
      </c>
      <c r="F24" s="14">
        <f>-1.8+3.5</f>
        <v>1.7</v>
      </c>
      <c r="G24" s="14">
        <v>-4.4</v>
      </c>
      <c r="H24" s="14">
        <f>J24-I24-G24-F24</f>
        <v>-5.6</v>
      </c>
      <c r="I24" s="14">
        <v>-168.8</v>
      </c>
      <c r="J24" s="14">
        <v>-177.1</v>
      </c>
      <c r="K24" s="14">
        <f>D24+E24</f>
        <v>-320.2</v>
      </c>
      <c r="L24" s="14">
        <f>SUM(D21:E24)/4</f>
        <v>23.575</v>
      </c>
      <c r="M24" s="14">
        <v>121.835954160344</v>
      </c>
      <c r="N24" s="14">
        <f>-(J24-F24-G24)+N23</f>
        <v>739.64</v>
      </c>
      <c r="O24" s="14">
        <v>945.797094943787</v>
      </c>
      <c r="P24" s="14">
        <f>1+P23</f>
        <v>21</v>
      </c>
    </row>
    <row r="25" ht="20.05" customHeight="1">
      <c r="B25" s="30"/>
      <c r="C25" s="13"/>
      <c r="D25" s="14"/>
      <c r="E25" s="14"/>
      <c r="F25" s="14"/>
      <c r="G25" s="14"/>
      <c r="H25" s="14"/>
      <c r="I25" s="14"/>
      <c r="J25" s="14"/>
      <c r="K25" s="14"/>
      <c r="L25" s="21"/>
      <c r="M25" s="14">
        <f>SUM('Model'!F9:F11)</f>
        <v>111.703096433170</v>
      </c>
      <c r="N25" s="21"/>
      <c r="O25" s="14">
        <f>'Model'!F34</f>
        <v>1193.460021389890</v>
      </c>
      <c r="P25" s="14"/>
    </row>
  </sheetData>
  <mergeCells count="1">
    <mergeCell ref="B2:P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" style="35" customWidth="1"/>
    <col min="2" max="2" width="8.64062" style="35" customWidth="1"/>
    <col min="3" max="11" width="10.2656" style="35" customWidth="1"/>
    <col min="12" max="16384" width="16.3516" style="35" customWidth="1"/>
  </cols>
  <sheetData>
    <row r="1" ht="12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26</v>
      </c>
      <c r="J3" t="s" s="5">
        <v>54</v>
      </c>
      <c r="K3" t="s" s="5">
        <v>34</v>
      </c>
    </row>
    <row r="4" ht="20.25" customHeight="1">
      <c r="B4" s="36"/>
      <c r="C4" s="28">
        <v>665</v>
      </c>
      <c r="D4" s="29">
        <v>1871</v>
      </c>
      <c r="E4" s="29">
        <f>D4-C4</f>
        <v>1206</v>
      </c>
      <c r="F4" s="29">
        <f>213+37</f>
        <v>250</v>
      </c>
      <c r="G4" s="29">
        <v>993</v>
      </c>
      <c r="H4" s="29">
        <v>878</v>
      </c>
      <c r="I4" s="29">
        <f>G4+H4-C4-E4</f>
        <v>0</v>
      </c>
      <c r="J4" s="29">
        <f>C4-G4</f>
        <v>-328</v>
      </c>
      <c r="K4" s="29"/>
    </row>
    <row r="5" ht="20.05" customHeight="1">
      <c r="B5" s="31">
        <v>2018</v>
      </c>
      <c r="C5" s="13">
        <v>598</v>
      </c>
      <c r="D5" s="14">
        <v>1906</v>
      </c>
      <c r="E5" s="14">
        <f>D5-C5</f>
        <v>1308</v>
      </c>
      <c r="F5" s="14">
        <f>234+13</f>
        <v>247</v>
      </c>
      <c r="G5" s="14">
        <v>1013</v>
      </c>
      <c r="H5" s="14">
        <v>893</v>
      </c>
      <c r="I5" s="14">
        <f>G5+H5-C5-E5</f>
        <v>0</v>
      </c>
      <c r="J5" s="14">
        <f>C5-G5</f>
        <v>-415</v>
      </c>
      <c r="K5" s="14"/>
    </row>
    <row r="6" ht="20.05" customHeight="1">
      <c r="B6" s="30"/>
      <c r="C6" s="13">
        <v>480</v>
      </c>
      <c r="D6" s="14">
        <v>1881</v>
      </c>
      <c r="E6" s="14">
        <f>D6-C6</f>
        <v>1401</v>
      </c>
      <c r="F6" s="14">
        <f>255+34</f>
        <v>289</v>
      </c>
      <c r="G6" s="14">
        <v>1037</v>
      </c>
      <c r="H6" s="14">
        <v>844</v>
      </c>
      <c r="I6" s="14">
        <f>G6+H6-C6-E6</f>
        <v>0</v>
      </c>
      <c r="J6" s="14">
        <f>C6-G6</f>
        <v>-557</v>
      </c>
      <c r="K6" s="14"/>
    </row>
    <row r="7" ht="20.05" customHeight="1">
      <c r="B7" s="30"/>
      <c r="C7" s="13">
        <v>495</v>
      </c>
      <c r="D7" s="14">
        <v>2093</v>
      </c>
      <c r="E7" s="14">
        <f>D7-C7</f>
        <v>1598</v>
      </c>
      <c r="F7" s="14">
        <f>278+35</f>
        <v>313</v>
      </c>
      <c r="G7" s="14">
        <f>1233</f>
        <v>1233</v>
      </c>
      <c r="H7" s="14">
        <v>860</v>
      </c>
      <c r="I7" s="14">
        <f>G7+H7-C7-E7</f>
        <v>0</v>
      </c>
      <c r="J7" s="14">
        <f>C7-G7</f>
        <v>-738</v>
      </c>
      <c r="K7" s="14"/>
    </row>
    <row r="8" ht="20.05" customHeight="1">
      <c r="B8" s="30"/>
      <c r="C8" s="13">
        <v>620.3</v>
      </c>
      <c r="D8" s="14">
        <v>2059</v>
      </c>
      <c r="E8" s="14">
        <f>D8-C8</f>
        <v>1438.7</v>
      </c>
      <c r="F8" s="14">
        <f>300+37</f>
        <v>337</v>
      </c>
      <c r="G8" s="14">
        <v>1147.66</v>
      </c>
      <c r="H8" s="14">
        <v>911.35</v>
      </c>
      <c r="I8" s="14">
        <f>G8+H8-C8-E8</f>
        <v>0.01</v>
      </c>
      <c r="J8" s="14">
        <f>C8-G8</f>
        <v>-527.36</v>
      </c>
      <c r="K8" s="14"/>
    </row>
    <row r="9" ht="20.05" customHeight="1">
      <c r="B9" s="31">
        <v>2019</v>
      </c>
      <c r="C9" s="13">
        <v>633.46</v>
      </c>
      <c r="D9" s="14">
        <v>2106</v>
      </c>
      <c r="E9" s="14">
        <f>D9-C9</f>
        <v>1472.54</v>
      </c>
      <c r="F9" s="14">
        <f>327+38</f>
        <v>365</v>
      </c>
      <c r="G9" s="14">
        <v>1176.64</v>
      </c>
      <c r="H9" s="14">
        <v>929.4</v>
      </c>
      <c r="I9" s="14">
        <f>G9+H9-C9-E9</f>
        <v>0.04</v>
      </c>
      <c r="J9" s="14">
        <f>C9-G9</f>
        <v>-543.1799999999999</v>
      </c>
      <c r="K9" s="14"/>
    </row>
    <row r="10" ht="20.05" customHeight="1">
      <c r="B10" s="30"/>
      <c r="C10" s="13">
        <v>338.7</v>
      </c>
      <c r="D10" s="14">
        <v>2226</v>
      </c>
      <c r="E10" s="14">
        <f>D10-C10</f>
        <v>1887.3</v>
      </c>
      <c r="F10" s="14">
        <f>337+39</f>
        <v>376</v>
      </c>
      <c r="G10" s="14">
        <v>1346.49</v>
      </c>
      <c r="H10" s="14">
        <v>879.55</v>
      </c>
      <c r="I10" s="14">
        <f>G10+H10-C10-E10</f>
        <v>0.04</v>
      </c>
      <c r="J10" s="14">
        <f>C10-G10</f>
        <v>-1007.79</v>
      </c>
      <c r="K10" s="14"/>
    </row>
    <row r="11" ht="20.05" customHeight="1">
      <c r="B11" s="30"/>
      <c r="C11" s="13">
        <v>284.6</v>
      </c>
      <c r="D11" s="14">
        <v>2186.9</v>
      </c>
      <c r="E11" s="14">
        <f>D11-C11</f>
        <v>1902.3</v>
      </c>
      <c r="F11" s="14">
        <f>369+40</f>
        <v>409</v>
      </c>
      <c r="G11" s="14">
        <v>1241.99</v>
      </c>
      <c r="H11" s="14">
        <v>944.95</v>
      </c>
      <c r="I11" s="14">
        <f>G11+H11-C11-E11</f>
        <v>0.04</v>
      </c>
      <c r="J11" s="14">
        <f>C11-G11</f>
        <v>-957.39</v>
      </c>
      <c r="K11" s="14"/>
    </row>
    <row r="12" ht="20.05" customHeight="1">
      <c r="B12" s="30"/>
      <c r="C12" s="13">
        <v>403</v>
      </c>
      <c r="D12" s="14">
        <v>2106</v>
      </c>
      <c r="E12" s="14">
        <f>D12-C12</f>
        <v>1703</v>
      </c>
      <c r="F12" s="14">
        <f>41+421</f>
        <v>462</v>
      </c>
      <c r="G12" s="14">
        <v>1128</v>
      </c>
      <c r="H12" s="14">
        <v>978</v>
      </c>
      <c r="I12" s="14">
        <f>G12+H12-C12-E12</f>
        <v>0</v>
      </c>
      <c r="J12" s="14">
        <f>C12-G12</f>
        <v>-725</v>
      </c>
      <c r="K12" s="14"/>
    </row>
    <row r="13" ht="20.05" customHeight="1">
      <c r="B13" s="31">
        <v>2020</v>
      </c>
      <c r="C13" s="13">
        <v>439</v>
      </c>
      <c r="D13" s="14">
        <v>2181</v>
      </c>
      <c r="E13" s="14">
        <f>D13-C13</f>
        <v>1742</v>
      </c>
      <c r="F13" s="14">
        <f>458+42</f>
        <v>500</v>
      </c>
      <c r="G13" s="14">
        <v>1178</v>
      </c>
      <c r="H13" s="14">
        <v>1003</v>
      </c>
      <c r="I13" s="14">
        <f>G13+H13-C13-E13</f>
        <v>0</v>
      </c>
      <c r="J13" s="14">
        <f>C13-G13</f>
        <v>-739</v>
      </c>
      <c r="K13" s="14"/>
    </row>
    <row r="14" ht="20.05" customHeight="1">
      <c r="B14" s="30"/>
      <c r="C14" s="13">
        <v>340</v>
      </c>
      <c r="D14" s="14">
        <v>2337</v>
      </c>
      <c r="E14" s="14">
        <f>D14-C14</f>
        <v>1997</v>
      </c>
      <c r="F14" s="14">
        <f>498+43</f>
        <v>541</v>
      </c>
      <c r="G14" s="14">
        <v>1545</v>
      </c>
      <c r="H14" s="14">
        <v>792</v>
      </c>
      <c r="I14" s="14">
        <f>G14+H14-C14-E14</f>
        <v>0</v>
      </c>
      <c r="J14" s="14">
        <f>C14-G14</f>
        <v>-1205</v>
      </c>
      <c r="K14" s="14"/>
    </row>
    <row r="15" ht="20.05" customHeight="1">
      <c r="B15" s="30"/>
      <c r="C15" s="13">
        <v>293</v>
      </c>
      <c r="D15" s="14">
        <v>2326</v>
      </c>
      <c r="E15" s="14">
        <f>D15-C15</f>
        <v>2033</v>
      </c>
      <c r="F15" s="14">
        <f>496+44</f>
        <v>540</v>
      </c>
      <c r="G15" s="14">
        <v>1495</v>
      </c>
      <c r="H15" s="14">
        <v>831</v>
      </c>
      <c r="I15" s="14">
        <f>G15+H15-C15-E15</f>
        <v>0</v>
      </c>
      <c r="J15" s="14">
        <f>C15-G15</f>
        <v>-1202</v>
      </c>
      <c r="K15" s="14"/>
    </row>
    <row r="16" ht="20.05" customHeight="1">
      <c r="B16" s="30"/>
      <c r="C16" s="13">
        <v>630</v>
      </c>
      <c r="D16" s="14">
        <v>2418</v>
      </c>
      <c r="E16" s="14">
        <f>D16-C16</f>
        <v>1788</v>
      </c>
      <c r="F16" s="14">
        <f>522+45</f>
        <v>567</v>
      </c>
      <c r="G16" s="14">
        <v>1536</v>
      </c>
      <c r="H16" s="14">
        <v>882</v>
      </c>
      <c r="I16" s="14">
        <f>G16+H16-C16-E16</f>
        <v>0</v>
      </c>
      <c r="J16" s="14">
        <f>C16-G16</f>
        <v>-906</v>
      </c>
      <c r="K16" s="14"/>
    </row>
    <row r="17" ht="20.05" customHeight="1">
      <c r="B17" s="31">
        <v>2021</v>
      </c>
      <c r="C17" s="13">
        <v>565</v>
      </c>
      <c r="D17" s="14">
        <v>2408</v>
      </c>
      <c r="E17" s="14">
        <f>D17-C17</f>
        <v>1843</v>
      </c>
      <c r="F17" s="14">
        <f>557+46</f>
        <v>603</v>
      </c>
      <c r="G17" s="14">
        <v>1501</v>
      </c>
      <c r="H17" s="14">
        <v>907</v>
      </c>
      <c r="I17" s="14">
        <f>G17+H17-C17-E17</f>
        <v>0</v>
      </c>
      <c r="J17" s="14">
        <f>C17-G17</f>
        <v>-936</v>
      </c>
      <c r="K17" s="14"/>
    </row>
    <row r="18" ht="20.05" customHeight="1">
      <c r="B18" s="30"/>
      <c r="C18" s="13">
        <v>408</v>
      </c>
      <c r="D18" s="14">
        <v>2296</v>
      </c>
      <c r="E18" s="14">
        <f>D18-C18</f>
        <v>1888</v>
      </c>
      <c r="F18" s="14">
        <f>580+46</f>
        <v>626</v>
      </c>
      <c r="G18" s="14">
        <v>1550</v>
      </c>
      <c r="H18" s="14">
        <v>746</v>
      </c>
      <c r="I18" s="14">
        <f>G18+H18-C18-E18</f>
        <v>0</v>
      </c>
      <c r="J18" s="14">
        <f>C18-G18</f>
        <v>-1142</v>
      </c>
      <c r="K18" s="14"/>
    </row>
    <row r="19" ht="20.05" customHeight="1">
      <c r="B19" s="30"/>
      <c r="C19" s="13">
        <v>379</v>
      </c>
      <c r="D19" s="14">
        <v>2448</v>
      </c>
      <c r="E19" s="14">
        <f>D19-C19</f>
        <v>2069</v>
      </c>
      <c r="F19" s="14">
        <f>47+615</f>
        <v>662</v>
      </c>
      <c r="G19" s="14">
        <v>1574</v>
      </c>
      <c r="H19" s="14">
        <v>874</v>
      </c>
      <c r="I19" s="14">
        <f>G19+H19-C19-E19</f>
        <v>0</v>
      </c>
      <c r="J19" s="14">
        <f>C19-G19</f>
        <v>-1195</v>
      </c>
      <c r="K19" s="14"/>
    </row>
    <row r="20" ht="20.05" customHeight="1">
      <c r="B20" s="30"/>
      <c r="C20" s="13">
        <v>704</v>
      </c>
      <c r="D20" s="14">
        <v>2993</v>
      </c>
      <c r="E20" s="14">
        <f>D20-C20</f>
        <v>2289</v>
      </c>
      <c r="F20" s="14">
        <f>640+47</f>
        <v>687</v>
      </c>
      <c r="G20" s="14">
        <v>2034</v>
      </c>
      <c r="H20" s="14">
        <f>D20-G20</f>
        <v>959</v>
      </c>
      <c r="I20" s="14">
        <f>G20+H20-C20-E20</f>
        <v>0</v>
      </c>
      <c r="J20" s="14">
        <f>C20-G20</f>
        <v>-1330</v>
      </c>
      <c r="K20" s="14"/>
    </row>
    <row r="21" ht="20.05" customHeight="1">
      <c r="B21" s="31">
        <v>2022</v>
      </c>
      <c r="C21" s="13">
        <v>206</v>
      </c>
      <c r="D21" s="14">
        <v>2749</v>
      </c>
      <c r="E21" s="14">
        <f>D21-C21</f>
        <v>2543</v>
      </c>
      <c r="F21" s="14">
        <f>47+675</f>
        <v>722</v>
      </c>
      <c r="G21" s="14">
        <v>1895</v>
      </c>
      <c r="H21" s="14">
        <v>854</v>
      </c>
      <c r="I21" s="14">
        <f>G21+H21-C21-E21</f>
        <v>0</v>
      </c>
      <c r="J21" s="14">
        <f>C21-G21</f>
        <v>-1689</v>
      </c>
      <c r="K21" s="14">
        <v>-1033.850033539350</v>
      </c>
    </row>
    <row r="22" ht="20.05" customHeight="1">
      <c r="B22" s="30"/>
      <c r="C22" s="13"/>
      <c r="D22" s="14"/>
      <c r="E22" s="14"/>
      <c r="F22" s="14"/>
      <c r="G22" s="14"/>
      <c r="H22" s="14"/>
      <c r="I22" s="14"/>
      <c r="J22" s="14"/>
      <c r="K22" s="14">
        <f>'Model'!F32</f>
        <v>-1348.565985027080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9.94531" style="37" customWidth="1"/>
    <col min="4" max="16384" width="16.3516" style="37" customWidth="1"/>
  </cols>
  <sheetData>
    <row r="1" ht="27.65" customHeight="1">
      <c r="A1" t="s" s="2">
        <v>55</v>
      </c>
      <c r="B1" s="2"/>
      <c r="C1" s="2"/>
    </row>
    <row r="2" ht="20.25" customHeight="1">
      <c r="A2" s="33"/>
      <c r="B2" t="s" s="5">
        <v>56</v>
      </c>
      <c r="C2" t="s" s="5">
        <v>57</v>
      </c>
    </row>
    <row r="3" ht="20.25" customHeight="1">
      <c r="A3" s="27">
        <v>2018</v>
      </c>
      <c r="B3" s="38">
        <v>565</v>
      </c>
      <c r="C3" s="29"/>
    </row>
    <row r="4" ht="20.05" customHeight="1">
      <c r="A4" s="30"/>
      <c r="B4" s="39">
        <v>925</v>
      </c>
      <c r="C4" s="14"/>
    </row>
    <row r="5" ht="20.05" customHeight="1">
      <c r="A5" s="30"/>
      <c r="B5" s="39">
        <v>890</v>
      </c>
      <c r="C5" s="14"/>
    </row>
    <row r="6" ht="20.05" customHeight="1">
      <c r="A6" s="30"/>
      <c r="B6" s="39">
        <v>915</v>
      </c>
      <c r="C6" s="14"/>
    </row>
    <row r="7" ht="20.05" customHeight="1">
      <c r="A7" s="31">
        <v>2019</v>
      </c>
      <c r="B7" s="39">
        <v>1380</v>
      </c>
      <c r="C7" s="14"/>
    </row>
    <row r="8" ht="20.05" customHeight="1">
      <c r="A8" s="30"/>
      <c r="B8" s="39">
        <v>700</v>
      </c>
      <c r="C8" s="14"/>
    </row>
    <row r="9" ht="20.05" customHeight="1">
      <c r="A9" s="30"/>
      <c r="B9" s="39">
        <v>700</v>
      </c>
      <c r="C9" s="14"/>
    </row>
    <row r="10" ht="20.05" customHeight="1">
      <c r="A10" s="30"/>
      <c r="B10" s="39">
        <v>448</v>
      </c>
      <c r="C10" s="14"/>
    </row>
    <row r="11" ht="20.05" customHeight="1">
      <c r="A11" s="31">
        <v>2020</v>
      </c>
      <c r="B11" s="39">
        <v>342</v>
      </c>
      <c r="C11" s="14"/>
    </row>
    <row r="12" ht="20.05" customHeight="1">
      <c r="A12" s="30"/>
      <c r="B12" s="39">
        <v>625</v>
      </c>
      <c r="C12" s="14"/>
    </row>
    <row r="13" ht="20.05" customHeight="1">
      <c r="A13" s="30"/>
      <c r="B13" s="39">
        <v>570</v>
      </c>
      <c r="C13" s="14"/>
    </row>
    <row r="14" ht="20.05" customHeight="1">
      <c r="A14" s="30"/>
      <c r="B14" s="39">
        <v>710</v>
      </c>
      <c r="C14" s="14"/>
    </row>
    <row r="15" ht="20.05" customHeight="1">
      <c r="A15" s="31">
        <v>2021</v>
      </c>
      <c r="B15" s="39">
        <v>1165</v>
      </c>
      <c r="C15" s="14"/>
    </row>
    <row r="16" ht="20.05" customHeight="1">
      <c r="A16" s="30"/>
      <c r="B16" s="13">
        <v>4020</v>
      </c>
      <c r="C16" s="14"/>
    </row>
    <row r="17" ht="20.05" customHeight="1">
      <c r="A17" s="30"/>
      <c r="B17" s="13">
        <v>3470</v>
      </c>
      <c r="C17" s="14"/>
    </row>
    <row r="18" ht="20.05" customHeight="1">
      <c r="A18" s="30"/>
      <c r="B18" s="13">
        <v>3510</v>
      </c>
      <c r="C18" s="14"/>
    </row>
    <row r="19" ht="20.05" customHeight="1">
      <c r="A19" s="31">
        <v>2022</v>
      </c>
      <c r="B19" s="13">
        <v>3400</v>
      </c>
      <c r="C19" s="14">
        <v>4677.953894464650</v>
      </c>
    </row>
    <row r="20" ht="20.05" customHeight="1">
      <c r="A20" s="30"/>
      <c r="B20" s="13">
        <v>3110</v>
      </c>
      <c r="C20" s="14">
        <v>4262.239354186920</v>
      </c>
    </row>
    <row r="21" ht="20.05" customHeight="1">
      <c r="A21" s="30"/>
      <c r="B21" s="13"/>
      <c r="C21" s="14">
        <f>'Model'!F45</f>
        <v>4114.634755199280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