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<sst xmlns="http://schemas.openxmlformats.org/spreadsheetml/2006/main" uniqueCount="88">
  <si>
    <t>Financial model</t>
  </si>
  <si>
    <t>Rpbn</t>
  </si>
  <si>
    <t>4Q 2022</t>
  </si>
  <si>
    <t>Cashflow</t>
  </si>
  <si>
    <t>Growth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</si>
  <si>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</si>
  <si>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</si>
  <si>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</si>
  <si>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</si>
  <si>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</si>
  <si>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</si>
  <si>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</si>
  <si>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</si>
  <si>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</si>
  <si>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</si>
  <si>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</si>
  <si>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</si>
  <si>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>Change</t>
  </si>
  <si>
    <t>Ending</t>
  </si>
  <si>
    <t xml:space="preserve">Profit </t>
  </si>
  <si>
    <t>Non cash costs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</si>
  <si>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</si>
  <si>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</si>
  <si>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</si>
  <si>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</si>
  <si>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</si>
  <si>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</si>
  <si>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</si>
  <si>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</si>
  <si>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</si>
  <si>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</si>
  <si>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</si>
  <si>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</si>
  <si>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</si>
  <si>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</si>
  <si>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</si>
  <si>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</si>
  <si>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</si>
  <si>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</si>
  <si>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</si>
  <si>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</si>
  <si>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Forevast</t>
  </si>
  <si>
    <t>Profit</t>
  </si>
  <si>
    <t xml:space="preserve">Sales growth </t>
  </si>
  <si>
    <t>Cost ratio</t>
  </si>
  <si>
    <t xml:space="preserve">Receipts </t>
  </si>
  <si>
    <t>Finance</t>
  </si>
  <si>
    <t>Free cashflow</t>
  </si>
  <si>
    <t>Cash</t>
  </si>
  <si>
    <t>Assets</t>
  </si>
  <si>
    <t>Share price</t>
  </si>
  <si>
    <t>MLIA</t>
  </si>
  <si>
    <t>Target</t>
  </si>
  <si>
    <t>Capital</t>
  </si>
  <si>
    <t>Total</t>
  </si>
  <si>
    <t>Table 1</t>
  </si>
  <si>
    <t>Market value</t>
  </si>
  <si>
    <t xml:space="preserve">capital history </t>
  </si>
  <si>
    <t>of market value</t>
  </si>
  <si>
    <t>paid every year.</t>
  </si>
  <si>
    <t xml:space="preserve">Start date </t>
  </si>
  <si>
    <t xml:space="preserve">Number of quarters </t>
  </si>
  <si>
    <t>Market value Rpbn</t>
  </si>
  <si>
    <t xml:space="preserve">billion rupiah </t>
  </si>
  <si>
    <t>paid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</si>
  <si>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</si>
  <si>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</si>
  <si>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</si>
  <si>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</si>
  <si>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</si>
  <si>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</si>
  <si>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</si>
  <si>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</si>
  <si>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</si>
  <si>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</si>
  <si>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</si>
  <si>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</si>
  <si>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</si>
  <si>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</si>
  <si>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>raised</t>
  </si>
  <si>
    <t xml:space="preserve">equity </t>
  </si>
  <si>
    <t>was</t>
  </si>
  <si>
    <t xml:space="preserve">The peak in cumulative equity </t>
  </si>
  <si>
    <t>is</t>
  </si>
  <si>
    <t>up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</si>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</sst>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.0%"/>
    <numFmt numFmtId="60" formatCode="#,##0.0"/>
    <numFmt numFmtId="61" formatCode="#,##0%"/>
    <numFmt numFmtId="62" formatCode="[$IDR]0"/>
    <numFmt numFmtId="63" formatCode="mmm d, yyyy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22"/>
      <color indexed="8"/>
      <name val="Helvetica Neue"/>
    </font>
    <font>
      <b val="1"/>
      <sz val="22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3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'Capital'!$E$3:$E$16</c:f>
              <c:numCache>
                <c:ptCount val="14"/>
                <c:pt idx="0">
                  <c:v>-325.000000</c:v>
                </c:pt>
                <c:pt idx="1">
                  <c:v>-820.000000</c:v>
                </c:pt>
                <c:pt idx="2">
                  <c:v>-923.000000</c:v>
                </c:pt>
                <c:pt idx="3">
                  <c:v>-1067.000000</c:v>
                </c:pt>
                <c:pt idx="4">
                  <c:v>-1257.700000</c:v>
                </c:pt>
                <c:pt idx="5">
                  <c:v>-1518.700000</c:v>
                </c:pt>
                <c:pt idx="6">
                  <c:v>-1725.700000</c:v>
                </c:pt>
                <c:pt idx="7">
                  <c:v>-1777.700000</c:v>
                </c:pt>
                <c:pt idx="8">
                  <c:v>-2301.700000</c:v>
                </c:pt>
                <c:pt idx="9">
                  <c:v>-2353.700000</c:v>
                </c:pt>
                <c:pt idx="10">
                  <c:v>-2046.700000</c:v>
                </c:pt>
                <c:pt idx="11">
                  <c:v>-2220.700000</c:v>
                </c:pt>
                <c:pt idx="12">
                  <c:v>-2479.700000</c:v>
                </c:pt>
                <c:pt idx="13">
                  <c:v>-2544.300000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'Capital'!$F$3:$F$16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-6.300000</c:v>
                </c:pt>
                <c:pt idx="5">
                  <c:v>-20.300000</c:v>
                </c:pt>
                <c:pt idx="6">
                  <c:v>-23.300000</c:v>
                </c:pt>
                <c:pt idx="7">
                  <c:v>-23.300000</c:v>
                </c:pt>
                <c:pt idx="8">
                  <c:v>-23.300000</c:v>
                </c:pt>
                <c:pt idx="9">
                  <c:v>-23.300000</c:v>
                </c:pt>
                <c:pt idx="10">
                  <c:v>47.700000</c:v>
                </c:pt>
                <c:pt idx="11">
                  <c:v>46.700000</c:v>
                </c:pt>
                <c:pt idx="12">
                  <c:v>48.000000</c:v>
                </c:pt>
                <c:pt idx="13">
                  <c:v>48.000000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'Capital'!$G$3:$G$16</c:f>
              <c:numCache>
                <c:ptCount val="14"/>
                <c:pt idx="0">
                  <c:v>-325.000000</c:v>
                </c:pt>
                <c:pt idx="1">
                  <c:v>-820.000000</c:v>
                </c:pt>
                <c:pt idx="2">
                  <c:v>-923.000000</c:v>
                </c:pt>
                <c:pt idx="3">
                  <c:v>-1067.000000</c:v>
                </c:pt>
                <c:pt idx="4">
                  <c:v>-1264.000000</c:v>
                </c:pt>
                <c:pt idx="5">
                  <c:v>-1539.000000</c:v>
                </c:pt>
                <c:pt idx="6">
                  <c:v>-1749.000000</c:v>
                </c:pt>
                <c:pt idx="7">
                  <c:v>-1801.000000</c:v>
                </c:pt>
                <c:pt idx="8">
                  <c:v>-2325.000000</c:v>
                </c:pt>
                <c:pt idx="9">
                  <c:v>-2377.000000</c:v>
                </c:pt>
                <c:pt idx="10">
                  <c:v>-1999.000000</c:v>
                </c:pt>
                <c:pt idx="11">
                  <c:v>-2174.000000</c:v>
                </c:pt>
                <c:pt idx="12">
                  <c:v>-2431.700000</c:v>
                </c:pt>
                <c:pt idx="13">
                  <c:v>-2496.300000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.5"/>
        <c:minorUnit val="468.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00337"/>
          <c:y val="0.0547912"/>
          <c:w val="0.40665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423155</xdr:colOff>
      <xdr:row>1</xdr:row>
      <xdr:rowOff>272875</xdr:rowOff>
    </xdr:from>
    <xdr:to>
      <xdr:col>13</xdr:col>
      <xdr:colOff>382218</xdr:colOff>
      <xdr:row>48</xdr:row>
      <xdr:rowOff>175482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90455" y="1286335"/>
          <a:ext cx="8671264" cy="119720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753729</xdr:colOff>
      <xdr:row>21</xdr:row>
      <xdr:rowOff>187978</xdr:rowOff>
    </xdr:from>
    <xdr:to>
      <xdr:col>5</xdr:col>
      <xdr:colOff>425243</xdr:colOff>
      <xdr:row>30</xdr:row>
      <xdr:rowOff>166578</xdr:rowOff>
    </xdr:to>
    <xdr:graphicFrame>
      <xdr:nvGraphicFramePr>
        <xdr:cNvPr id="4" name="2D Line Chart"/>
        <xdr:cNvGraphicFramePr/>
      </xdr:nvGraphicFramePr>
      <xdr:xfrm>
        <a:off x="1718929" y="5889008"/>
        <a:ext cx="3532315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32713</xdr:colOff>
      <xdr:row>19</xdr:row>
      <xdr:rowOff>23565</xdr:rowOff>
    </xdr:from>
    <xdr:to>
      <xdr:col>5</xdr:col>
      <xdr:colOff>298153</xdr:colOff>
      <xdr:row>22</xdr:row>
      <xdr:rowOff>912</xdr:rowOff>
    </xdr:to>
    <xdr:sp>
      <xdr:nvSpPr>
        <xdr:cNvPr id="5" name="MLIA HAS PAID 2.4 TRILLION RUPIAH"/>
        <xdr:cNvSpPr txBox="1"/>
      </xdr:nvSpPr>
      <xdr:spPr>
        <a:xfrm>
          <a:off x="1963113" y="5060385"/>
          <a:ext cx="3161041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MLIA HAS PAID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2.4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5703" style="1" customWidth="1"/>
    <col min="2" max="2" width="16.3516" style="1" customWidth="1"/>
    <col min="3" max="6" width="8.69531" style="1" customWidth="1"/>
    <col min="7" max="16384" width="16.3516" style="1" customWidth="1"/>
  </cols>
  <sheetData>
    <row r="1" ht="79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AVERAGE('Sales'!G21:G24)</f>
        <v>0.0597816751384298</v>
      </c>
      <c r="D4" s="8"/>
      <c r="E4" s="8"/>
      <c r="F4" s="8">
        <f>AVERAGE(C5:F5)</f>
        <v>0.0625</v>
      </c>
    </row>
    <row r="5" ht="20.05" customHeight="1">
      <c r="B5" t="s" s="9">
        <v>4</v>
      </c>
      <c r="C5" s="10">
        <v>0.01</v>
      </c>
      <c r="D5" s="11">
        <v>0.15</v>
      </c>
      <c r="E5" s="12">
        <v>0.1</v>
      </c>
      <c r="F5" s="11">
        <v>-0.01</v>
      </c>
    </row>
    <row r="6" ht="20.05" customHeight="1">
      <c r="B6" t="s" s="9">
        <v>5</v>
      </c>
      <c r="C6" s="13">
        <f>'Sales'!C24*(1+C5)</f>
        <v>1345.017</v>
      </c>
      <c r="D6" s="14">
        <f>C6*(1+D5)</f>
        <v>1546.76955</v>
      </c>
      <c r="E6" s="14">
        <f>D6*(1+E5)</f>
        <v>1701.446505</v>
      </c>
      <c r="F6" s="14">
        <f>E6*(1+F5)</f>
        <v>1684.43203995</v>
      </c>
    </row>
    <row r="7" ht="20.05" customHeight="1">
      <c r="B7" t="s" s="9">
        <v>6</v>
      </c>
      <c r="C7" s="10">
        <f>AVERAGE('Sales'!H24)</f>
        <v>-0.759029811519111</v>
      </c>
      <c r="D7" s="11">
        <f>C7</f>
        <v>-0.759029811519111</v>
      </c>
      <c r="E7" s="11">
        <f>D7</f>
        <v>-0.759029811519111</v>
      </c>
      <c r="F7" s="11">
        <f>E7</f>
        <v>-0.759029811519111</v>
      </c>
    </row>
    <row r="8" ht="20.05" customHeight="1">
      <c r="B8" t="s" s="9">
        <v>7</v>
      </c>
      <c r="C8" s="15">
        <f>C6*C7</f>
        <v>-1020.908</v>
      </c>
      <c r="D8" s="16">
        <f>D6*D7</f>
        <v>-1174.0442</v>
      </c>
      <c r="E8" s="16">
        <f>E6*E7</f>
        <v>-1291.44862</v>
      </c>
      <c r="F8" s="16">
        <f>F6*F7</f>
        <v>-1278.5341338</v>
      </c>
    </row>
    <row r="9" ht="20.05" customHeight="1">
      <c r="B9" t="s" s="9">
        <v>8</v>
      </c>
      <c r="C9" s="13">
        <f>C6+C8</f>
        <v>324.109</v>
      </c>
      <c r="D9" s="14">
        <f>D6+D8</f>
        <v>372.72535</v>
      </c>
      <c r="E9" s="14">
        <f>E6+E8</f>
        <v>409.997885</v>
      </c>
      <c r="F9" s="14">
        <f>F6+F8</f>
        <v>405.89790615</v>
      </c>
    </row>
    <row r="10" ht="20.05" customHeight="1">
      <c r="B10" t="s" s="9">
        <v>9</v>
      </c>
      <c r="C10" s="13">
        <f>AVERAGE('Cashflow '!E24)</f>
        <v>-9.1</v>
      </c>
      <c r="D10" s="14">
        <f>C10</f>
        <v>-9.1</v>
      </c>
      <c r="E10" s="14">
        <f>D10</f>
        <v>-9.1</v>
      </c>
      <c r="F10" s="14">
        <f>E10</f>
        <v>-9.1</v>
      </c>
    </row>
    <row r="11" ht="20.05" customHeight="1">
      <c r="B11" t="s" s="9">
        <v>10</v>
      </c>
      <c r="C11" s="13">
        <f>C12+C15+C13</f>
        <v>-215.5827</v>
      </c>
      <c r="D11" s="14">
        <f>D12+D15+D13</f>
        <v>-223.260105</v>
      </c>
      <c r="E11" s="14">
        <f>E12+E15+E13</f>
        <v>-227.8797405</v>
      </c>
      <c r="F11" s="14">
        <f>F12+F15+F13</f>
        <v>-220.415728095</v>
      </c>
    </row>
    <row r="12" ht="20.05" customHeight="1">
      <c r="B12" t="s" s="9">
        <v>11</v>
      </c>
      <c r="C12" s="13">
        <f>-'Balance sheet'!G20/20</f>
        <v>-138.15</v>
      </c>
      <c r="D12" s="14">
        <f>-C27/20</f>
        <v>-131.2425</v>
      </c>
      <c r="E12" s="14">
        <f>-D27/20</f>
        <v>-124.680375</v>
      </c>
      <c r="F12" s="14">
        <f>-E27/20</f>
        <v>-118.44635625</v>
      </c>
    </row>
    <row r="13" ht="20.05" customHeight="1">
      <c r="B13" t="s" s="9">
        <v>12</v>
      </c>
      <c r="C13" s="13">
        <f>-MIN(0,C16)</f>
        <v>0</v>
      </c>
      <c r="D13" s="14">
        <f>-MIN(C28,D16)</f>
        <v>0</v>
      </c>
      <c r="E13" s="14">
        <f>-MIN(D28,E16)</f>
        <v>0</v>
      </c>
      <c r="F13" s="14">
        <f>-MIN(E28,F16)</f>
        <v>0</v>
      </c>
    </row>
    <row r="14" ht="20.05" customHeight="1">
      <c r="B14" t="s" s="9">
        <v>13</v>
      </c>
      <c r="C14" s="17">
        <v>0.3</v>
      </c>
      <c r="D14" s="14"/>
      <c r="E14" s="14"/>
      <c r="F14" s="14"/>
    </row>
    <row r="15" ht="20.05" customHeight="1">
      <c r="B15" t="s" s="9">
        <v>14</v>
      </c>
      <c r="C15" s="13">
        <f>IF(C22&gt;0,-C22*$C$14,0)</f>
        <v>-77.4327</v>
      </c>
      <c r="D15" s="14">
        <f>IF(D22&gt;0,-D22*$C$14,0)</f>
        <v>-92.017605</v>
      </c>
      <c r="E15" s="14">
        <f>IF(E22&gt;0,-E22*$C$14,0)</f>
        <v>-103.1993655</v>
      </c>
      <c r="F15" s="14">
        <f>IF(F22&gt;0,-F22*$C$14,0)</f>
        <v>-101.969371845</v>
      </c>
    </row>
    <row r="16" ht="20.05" customHeight="1">
      <c r="B16" t="s" s="9">
        <v>15</v>
      </c>
      <c r="C16" s="13">
        <f>C9+C10+C12+C15</f>
        <v>99.4263</v>
      </c>
      <c r="D16" s="14">
        <f>D9+D10+D12+D15</f>
        <v>140.365245</v>
      </c>
      <c r="E16" s="14">
        <f>E9+E10+E12+E15</f>
        <v>173.0181445</v>
      </c>
      <c r="F16" s="14">
        <f>F9+F10+F12+F15</f>
        <v>176.382178055</v>
      </c>
    </row>
    <row r="17" ht="20.05" customHeight="1">
      <c r="B17" t="s" s="9">
        <v>16</v>
      </c>
      <c r="C17" s="13">
        <f>'Balance sheet'!C20</f>
        <v>812</v>
      </c>
      <c r="D17" s="14">
        <f>C19</f>
        <v>911.4263</v>
      </c>
      <c r="E17" s="14">
        <f>D19</f>
        <v>1051.791545</v>
      </c>
      <c r="F17" s="14">
        <f>E19</f>
        <v>1224.8096895</v>
      </c>
    </row>
    <row r="18" ht="20.05" customHeight="1">
      <c r="B18" t="s" s="9">
        <v>17</v>
      </c>
      <c r="C18" s="13">
        <f>C9+C10+C11</f>
        <v>99.4263</v>
      </c>
      <c r="D18" s="14">
        <f>D9+D10+D11</f>
        <v>140.365245</v>
      </c>
      <c r="E18" s="14">
        <f>E9+E10+E11</f>
        <v>173.0181445</v>
      </c>
      <c r="F18" s="14">
        <f>F9+F10+F11</f>
        <v>176.382178055</v>
      </c>
    </row>
    <row r="19" ht="20.05" customHeight="1">
      <c r="B19" t="s" s="9">
        <v>18</v>
      </c>
      <c r="C19" s="13">
        <f>C17+C18</f>
        <v>911.4263</v>
      </c>
      <c r="D19" s="14">
        <f>D17+D18</f>
        <v>1051.791545</v>
      </c>
      <c r="E19" s="14">
        <f>E17+E18</f>
        <v>1224.8096895</v>
      </c>
      <c r="F19" s="14">
        <f>F17+F18</f>
        <v>1401.191867555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9">
        <v>20</v>
      </c>
      <c r="C21" s="15">
        <f>-'Sales'!E24</f>
        <v>-66</v>
      </c>
      <c r="D21" s="16">
        <f>C21</f>
        <v>-66</v>
      </c>
      <c r="E21" s="16">
        <f>D21</f>
        <v>-66</v>
      </c>
      <c r="F21" s="16">
        <f>E21</f>
        <v>-66</v>
      </c>
    </row>
    <row r="22" ht="20.05" customHeight="1">
      <c r="B22" t="s" s="9">
        <v>19</v>
      </c>
      <c r="C22" s="13">
        <f>C6+C8+C21</f>
        <v>258.109</v>
      </c>
      <c r="D22" s="14">
        <f>D6+D8+D21</f>
        <v>306.72535</v>
      </c>
      <c r="E22" s="14">
        <f>E6+E8+E21</f>
        <v>343.997885</v>
      </c>
      <c r="F22" s="14">
        <f>F6+F8+F21</f>
        <v>339.89790615</v>
      </c>
    </row>
    <row r="23" ht="20.05" customHeight="1">
      <c r="B23" t="s" s="18">
        <v>21</v>
      </c>
      <c r="C23" s="19"/>
      <c r="D23" s="20"/>
      <c r="E23" s="20"/>
      <c r="F23" s="20"/>
    </row>
    <row r="24" ht="20.05" customHeight="1">
      <c r="B24" t="s" s="9">
        <v>22</v>
      </c>
      <c r="C24" s="13">
        <f>'Balance sheet'!E20+'Balance sheet'!F20-C10</f>
        <v>10389.1</v>
      </c>
      <c r="D24" s="14">
        <f>C24-D10</f>
        <v>10398.2</v>
      </c>
      <c r="E24" s="14">
        <f>D24-E10</f>
        <v>10407.3</v>
      </c>
      <c r="F24" s="14">
        <f>E24-F10</f>
        <v>10416.4</v>
      </c>
    </row>
    <row r="25" ht="20.05" customHeight="1">
      <c r="B25" t="s" s="9">
        <v>23</v>
      </c>
      <c r="C25" s="13">
        <f>'Balance sheet'!F20-C21</f>
        <v>4829</v>
      </c>
      <c r="D25" s="14">
        <f>C25-D21</f>
        <v>4895</v>
      </c>
      <c r="E25" s="14">
        <f>D25-E21</f>
        <v>4961</v>
      </c>
      <c r="F25" s="14">
        <f>E25-F21</f>
        <v>5027</v>
      </c>
    </row>
    <row r="26" ht="20.05" customHeight="1">
      <c r="B26" t="s" s="9">
        <v>24</v>
      </c>
      <c r="C26" s="13">
        <f>C24-C25</f>
        <v>5560.1</v>
      </c>
      <c r="D26" s="14">
        <f>D24-D25</f>
        <v>5503.2</v>
      </c>
      <c r="E26" s="14">
        <f>E24-E25</f>
        <v>5446.3</v>
      </c>
      <c r="F26" s="14">
        <f>F24-F25</f>
        <v>5389.4</v>
      </c>
    </row>
    <row r="27" ht="20.05" customHeight="1">
      <c r="B27" t="s" s="9">
        <v>11</v>
      </c>
      <c r="C27" s="13">
        <f>'Balance sheet'!G20+C12</f>
        <v>2624.85</v>
      </c>
      <c r="D27" s="14">
        <f>C27+D12</f>
        <v>2493.6075</v>
      </c>
      <c r="E27" s="14">
        <f>D27+E12</f>
        <v>2368.927125</v>
      </c>
      <c r="F27" s="14">
        <f>E27+F12</f>
        <v>2250.48076875</v>
      </c>
    </row>
    <row r="28" ht="20.05" customHeight="1">
      <c r="B28" t="s" s="9">
        <v>12</v>
      </c>
      <c r="C28" s="13">
        <f>C13</f>
        <v>0</v>
      </c>
      <c r="D28" s="14">
        <f>C28+D13</f>
        <v>0</v>
      </c>
      <c r="E28" s="14">
        <f>D28+E13</f>
        <v>0</v>
      </c>
      <c r="F28" s="14">
        <f>E28+F13</f>
        <v>0</v>
      </c>
    </row>
    <row r="29" ht="20.05" customHeight="1">
      <c r="B29" t="s" s="9">
        <v>14</v>
      </c>
      <c r="C29" s="13">
        <f>'Balance sheet'!H20+C22+C15</f>
        <v>3846.6763</v>
      </c>
      <c r="D29" s="14">
        <f>C29+D22+D15</f>
        <v>4061.384045</v>
      </c>
      <c r="E29" s="14">
        <f>D29+E22+E15</f>
        <v>4302.1825645</v>
      </c>
      <c r="F29" s="14">
        <f>E29+F22+F15</f>
        <v>4540.111098805</v>
      </c>
    </row>
    <row r="30" ht="20.05" customHeight="1">
      <c r="B30" t="s" s="9">
        <v>25</v>
      </c>
      <c r="C30" s="13">
        <f>C27+C28+C29-C19-C26</f>
        <v>0</v>
      </c>
      <c r="D30" s="14">
        <f>D27+D28+D29-D19-D26</f>
        <v>0</v>
      </c>
      <c r="E30" s="14">
        <f>E27+E28+E29-E19-E26</f>
        <v>0</v>
      </c>
      <c r="F30" s="14">
        <f>F27+F28+F29-F19-F26</f>
        <v>0</v>
      </c>
    </row>
    <row r="31" ht="20.05" customHeight="1">
      <c r="B31" t="s" s="9">
        <v>26</v>
      </c>
      <c r="C31" s="13">
        <f>C19-C27-C28</f>
        <v>-1713.4237</v>
      </c>
      <c r="D31" s="14">
        <f>D19-D27-D28</f>
        <v>-1441.815955</v>
      </c>
      <c r="E31" s="14">
        <f>E19-E27-E28</f>
        <v>-1144.1174355</v>
      </c>
      <c r="F31" s="14">
        <f>F19-F27-F28</f>
        <v>-849.288901195</v>
      </c>
    </row>
    <row r="32" ht="20.05" customHeight="1">
      <c r="B32" t="s" s="18">
        <v>27</v>
      </c>
      <c r="C32" s="19"/>
      <c r="D32" s="20"/>
      <c r="E32" s="20"/>
      <c r="F32" s="20"/>
    </row>
    <row r="33" ht="20.05" customHeight="1">
      <c r="B33" t="s" s="9">
        <v>28</v>
      </c>
      <c r="C33" s="13">
        <f>'Cashflow '!L24-C11</f>
        <v>1044.1827</v>
      </c>
      <c r="D33" s="14">
        <f>C33-D11</f>
        <v>1267.442805</v>
      </c>
      <c r="E33" s="14">
        <f>D33-E11</f>
        <v>1495.3225455</v>
      </c>
      <c r="F33" s="14">
        <f>E33-F11</f>
        <v>1715.738273595</v>
      </c>
    </row>
    <row r="34" ht="20.05" customHeight="1">
      <c r="B34" t="s" s="9">
        <v>29</v>
      </c>
      <c r="C34" s="19"/>
      <c r="D34" s="20"/>
      <c r="E34" s="20"/>
      <c r="F34" s="14">
        <v>2989980144640</v>
      </c>
    </row>
    <row r="35" ht="20.05" customHeight="1">
      <c r="B35" t="s" s="9">
        <v>29</v>
      </c>
      <c r="C35" s="19"/>
      <c r="D35" s="20"/>
      <c r="E35" s="20"/>
      <c r="F35" s="14">
        <f>F34/1000000000</f>
        <v>2989.98014464</v>
      </c>
    </row>
    <row r="36" ht="20.05" customHeight="1">
      <c r="B36" t="s" s="9">
        <v>30</v>
      </c>
      <c r="C36" s="19"/>
      <c r="D36" s="20"/>
      <c r="E36" s="20"/>
      <c r="F36" s="22">
        <f>F35/(F19+F26)</f>
        <v>0.440312155841073</v>
      </c>
    </row>
    <row r="37" ht="20.05" customHeight="1">
      <c r="B37" t="s" s="9">
        <v>31</v>
      </c>
      <c r="C37" s="23"/>
      <c r="D37" s="21"/>
      <c r="E37" s="21"/>
      <c r="F37" s="24">
        <f>-(C15+D15+E15+F15)/F35</f>
        <v>0.125291481622901</v>
      </c>
    </row>
    <row r="38" ht="20.05" customHeight="1">
      <c r="B38" t="s" s="9">
        <v>3</v>
      </c>
      <c r="C38" s="23"/>
      <c r="D38" s="21"/>
      <c r="E38" s="21"/>
      <c r="F38" s="14">
        <f>SUM(C9:F10)</f>
        <v>1476.33014115</v>
      </c>
    </row>
    <row r="39" ht="20.05" customHeight="1">
      <c r="B39" t="s" s="9">
        <v>32</v>
      </c>
      <c r="C39" s="23"/>
      <c r="D39" s="21"/>
      <c r="E39" s="21"/>
      <c r="F39" s="16">
        <f>'Balance sheet'!E20/F38</f>
        <v>3.80470454638594</v>
      </c>
    </row>
    <row r="40" ht="20.05" customHeight="1">
      <c r="B40" t="s" s="9">
        <v>27</v>
      </c>
      <c r="C40" s="23"/>
      <c r="D40" s="21"/>
      <c r="E40" s="21"/>
      <c r="F40" s="16">
        <f>F35/F38</f>
        <v>2.0252788053971</v>
      </c>
    </row>
    <row r="41" ht="20.05" customHeight="1">
      <c r="B41" t="s" s="9">
        <v>33</v>
      </c>
      <c r="C41" s="23"/>
      <c r="D41" s="21"/>
      <c r="E41" s="21"/>
      <c r="F41" s="20">
        <v>8</v>
      </c>
    </row>
    <row r="42" ht="20.05" customHeight="1">
      <c r="B42" t="s" s="9">
        <v>34</v>
      </c>
      <c r="C42" s="23"/>
      <c r="D42" s="21"/>
      <c r="E42" s="21"/>
      <c r="F42" s="14">
        <f>F38*F41</f>
        <v>11810.6411292</v>
      </c>
    </row>
    <row r="43" ht="20.05" customHeight="1">
      <c r="B43" t="s" s="9">
        <v>35</v>
      </c>
      <c r="C43" s="23"/>
      <c r="D43" s="21"/>
      <c r="E43" s="21"/>
      <c r="F43" s="25">
        <f>F35/F45</f>
        <v>1.323000064</v>
      </c>
    </row>
    <row r="44" ht="20.05" customHeight="1">
      <c r="B44" t="s" s="9">
        <v>36</v>
      </c>
      <c r="C44" s="23"/>
      <c r="D44" s="21"/>
      <c r="E44" s="21"/>
      <c r="F44" s="14">
        <f>F42/F43</f>
        <v>8927.165954543751</v>
      </c>
    </row>
    <row r="45" ht="20.05" customHeight="1">
      <c r="B45" t="s" s="9">
        <v>37</v>
      </c>
      <c r="C45" s="23"/>
      <c r="D45" s="21"/>
      <c r="E45" s="21"/>
      <c r="F45" s="14">
        <v>2260</v>
      </c>
    </row>
    <row r="46" ht="20.05" customHeight="1">
      <c r="B46" t="s" s="9">
        <v>38</v>
      </c>
      <c r="C46" s="23"/>
      <c r="D46" s="21"/>
      <c r="E46" s="21"/>
      <c r="F46" s="24">
        <f>F42/F35-1</f>
        <v>2.95007343121405</v>
      </c>
    </row>
    <row r="47" ht="20.05" customHeight="1">
      <c r="B47" t="s" s="9">
        <v>39</v>
      </c>
      <c r="C47" s="23"/>
      <c r="D47" s="21"/>
      <c r="E47" s="21"/>
      <c r="F47" s="24">
        <f>'Sales'!C24/'Sales'!C20-1</f>
        <v>0.234198331788693</v>
      </c>
    </row>
    <row r="48" ht="20.05" customHeight="1">
      <c r="B48" t="s" s="9">
        <v>40</v>
      </c>
      <c r="C48" s="23"/>
      <c r="D48" s="21"/>
      <c r="E48" s="21"/>
      <c r="F48" s="24">
        <f>'Sales'!F27/'Sales'!E27-1</f>
        <v>-0.0177808492993387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5156" style="26" customWidth="1"/>
    <col min="2" max="2" width="10.4766" style="26" customWidth="1"/>
    <col min="3" max="10" width="11.2344" style="26" customWidth="1"/>
    <col min="11" max="16384" width="16.3516" style="26" customWidth="1"/>
  </cols>
  <sheetData>
    <row r="1" ht="39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41</v>
      </c>
      <c r="E3" t="s" s="5">
        <v>23</v>
      </c>
      <c r="F3" t="s" s="5">
        <v>42</v>
      </c>
      <c r="G3" t="s" s="5">
        <v>43</v>
      </c>
      <c r="H3" t="s" s="5">
        <v>44</v>
      </c>
      <c r="I3" t="s" s="5">
        <v>44</v>
      </c>
      <c r="J3" t="s" s="5">
        <v>33</v>
      </c>
    </row>
    <row r="4" ht="20.25" customHeight="1">
      <c r="B4" s="27">
        <v>2017</v>
      </c>
      <c r="C4" s="28">
        <v>1632</v>
      </c>
      <c r="D4" s="29"/>
      <c r="E4" s="30">
        <v>103.25</v>
      </c>
      <c r="F4" s="29">
        <v>-7</v>
      </c>
      <c r="G4" s="8"/>
      <c r="H4" s="8">
        <f>(E4+F4-C4)/C4</f>
        <v>-0.941023284313725</v>
      </c>
      <c r="I4" s="8"/>
      <c r="J4" s="8"/>
    </row>
    <row r="5" ht="20.05" customHeight="1">
      <c r="B5" s="31"/>
      <c r="C5" s="13">
        <v>1399</v>
      </c>
      <c r="D5" s="14"/>
      <c r="E5" s="16">
        <v>103.25</v>
      </c>
      <c r="F5" s="14">
        <v>-75</v>
      </c>
      <c r="G5" s="11">
        <f>C5/C4-1</f>
        <v>-0.142769607843137</v>
      </c>
      <c r="H5" s="11">
        <f>(E5+F5-C5)/C5</f>
        <v>-0.979807005003574</v>
      </c>
      <c r="I5" s="11"/>
      <c r="J5" s="11"/>
    </row>
    <row r="6" ht="20.05" customHeight="1">
      <c r="B6" s="31"/>
      <c r="C6" s="13">
        <v>1614</v>
      </c>
      <c r="D6" s="14"/>
      <c r="E6" s="16">
        <v>103.25</v>
      </c>
      <c r="F6" s="14">
        <v>-36</v>
      </c>
      <c r="G6" s="11">
        <f>C6/C5-1</f>
        <v>0.153681200857756</v>
      </c>
      <c r="H6" s="11">
        <f>(E6+F6-C6)/C6</f>
        <v>-0.958333333333333</v>
      </c>
      <c r="I6" s="11"/>
      <c r="J6" s="11"/>
    </row>
    <row r="7" ht="20.05" customHeight="1">
      <c r="B7" s="31"/>
      <c r="C7" s="13">
        <v>1632</v>
      </c>
      <c r="D7" s="14"/>
      <c r="E7" s="16">
        <v>103.25</v>
      </c>
      <c r="F7" s="14">
        <v>166</v>
      </c>
      <c r="G7" s="11">
        <f>C7/C6-1</f>
        <v>0.0111524163568773</v>
      </c>
      <c r="H7" s="11">
        <f>(E7+F7-C7)/C7</f>
        <v>-0.835018382352941</v>
      </c>
      <c r="I7" s="11"/>
      <c r="J7" s="11"/>
    </row>
    <row r="8" ht="20.05" customHeight="1">
      <c r="B8" s="32">
        <v>2018</v>
      </c>
      <c r="C8" s="13">
        <v>1697</v>
      </c>
      <c r="D8" s="14"/>
      <c r="E8" s="20">
        <v>73</v>
      </c>
      <c r="F8" s="14">
        <v>73</v>
      </c>
      <c r="G8" s="11">
        <f>C8/C7-1</f>
        <v>0.039828431372549</v>
      </c>
      <c r="H8" s="11">
        <f>(E8+F8-C8)/C8</f>
        <v>-0.913965822038892</v>
      </c>
      <c r="I8" s="11">
        <f>AVERAGE(H5:H8)</f>
        <v>-0.921781135682185</v>
      </c>
      <c r="J8" s="21"/>
    </row>
    <row r="9" ht="20.05" customHeight="1">
      <c r="B9" s="31"/>
      <c r="C9" s="13">
        <v>1432</v>
      </c>
      <c r="D9" s="14"/>
      <c r="E9" s="20">
        <v>73</v>
      </c>
      <c r="F9" s="14">
        <v>14</v>
      </c>
      <c r="G9" s="11">
        <f>C9/C8-1</f>
        <v>-0.156157925751326</v>
      </c>
      <c r="H9" s="11">
        <f>(E9+F9-C9)/C9</f>
        <v>-0.939245810055866</v>
      </c>
      <c r="I9" s="11">
        <f>AVERAGE(H6:H9)</f>
        <v>-0.911640836945258</v>
      </c>
      <c r="J9" s="21"/>
    </row>
    <row r="10" ht="20.05" customHeight="1">
      <c r="B10" s="31"/>
      <c r="C10" s="13">
        <v>1454</v>
      </c>
      <c r="D10" s="14"/>
      <c r="E10" s="20">
        <v>73</v>
      </c>
      <c r="F10" s="14">
        <v>56</v>
      </c>
      <c r="G10" s="11">
        <f>C10/C9-1</f>
        <v>0.0153631284916201</v>
      </c>
      <c r="H10" s="11">
        <f>(E10+F10-C10)/C10</f>
        <v>-0.9112792297111419</v>
      </c>
      <c r="I10" s="11">
        <f>AVERAGE(H7:H10)</f>
        <v>-0.89987731103971</v>
      </c>
      <c r="J10" s="21"/>
    </row>
    <row r="11" ht="20.05" customHeight="1">
      <c r="B11" s="31"/>
      <c r="C11" s="13">
        <v>994</v>
      </c>
      <c r="D11" s="14"/>
      <c r="E11" s="20">
        <v>73</v>
      </c>
      <c r="F11" s="14">
        <v>46</v>
      </c>
      <c r="G11" s="11">
        <f>C11/C10-1</f>
        <v>-0.31636863823934</v>
      </c>
      <c r="H11" s="11">
        <f>(E11+F11-C11)/C11</f>
        <v>-0.880281690140845</v>
      </c>
      <c r="I11" s="11">
        <f>AVERAGE(H8:H11)</f>
        <v>-0.911193137986686</v>
      </c>
      <c r="J11" s="21"/>
    </row>
    <row r="12" ht="20.05" customHeight="1">
      <c r="B12" s="32">
        <v>2019</v>
      </c>
      <c r="C12" s="13">
        <v>1010</v>
      </c>
      <c r="D12" s="14"/>
      <c r="E12" s="20">
        <v>61</v>
      </c>
      <c r="F12" s="14">
        <v>55</v>
      </c>
      <c r="G12" s="11">
        <f>C12/C11-1</f>
        <v>0.0160965794768612</v>
      </c>
      <c r="H12" s="11">
        <f>(E12+F12-C12)/C12</f>
        <v>-0.885148514851485</v>
      </c>
      <c r="I12" s="11">
        <f>AVERAGE(H9:H12)</f>
        <v>-0.903988811189835</v>
      </c>
      <c r="J12" s="21"/>
    </row>
    <row r="13" ht="20.05" customHeight="1">
      <c r="B13" s="31"/>
      <c r="C13" s="13">
        <v>876</v>
      </c>
      <c r="D13" s="14"/>
      <c r="E13" s="20">
        <v>61</v>
      </c>
      <c r="F13" s="14">
        <v>20</v>
      </c>
      <c r="G13" s="11">
        <f>C13/C12-1</f>
        <v>-0.132673267326733</v>
      </c>
      <c r="H13" s="11">
        <f>(E13+F13-C13)/C13</f>
        <v>-0.907534246575342</v>
      </c>
      <c r="I13" s="11">
        <f>AVERAGE(H10:H13)</f>
        <v>-0.896060920319704</v>
      </c>
      <c r="J13" s="21"/>
    </row>
    <row r="14" ht="20.05" customHeight="1">
      <c r="B14" s="31"/>
      <c r="C14" s="13">
        <v>1000</v>
      </c>
      <c r="D14" s="14"/>
      <c r="E14" s="20">
        <v>61</v>
      </c>
      <c r="F14" s="14">
        <v>0</v>
      </c>
      <c r="G14" s="11">
        <f>C14/C13-1</f>
        <v>0.141552511415525</v>
      </c>
      <c r="H14" s="11">
        <f>(E14+F14-C14)/C14</f>
        <v>-0.9389999999999999</v>
      </c>
      <c r="I14" s="11">
        <f>AVERAGE(H11:H14)</f>
        <v>-0.902991112891918</v>
      </c>
      <c r="J14" s="21"/>
    </row>
    <row r="15" ht="20.05" customHeight="1">
      <c r="B15" s="31"/>
      <c r="C15" s="13">
        <v>1001</v>
      </c>
      <c r="D15" s="14"/>
      <c r="E15" s="20">
        <v>61</v>
      </c>
      <c r="F15" s="14">
        <v>145</v>
      </c>
      <c r="G15" s="11">
        <f>C15/C14-1</f>
        <v>0.001</v>
      </c>
      <c r="H15" s="11">
        <f>(E15+F15-C15)/C15</f>
        <v>-0.794205794205794</v>
      </c>
      <c r="I15" s="11">
        <f>AVERAGE(H12:H15)</f>
        <v>-0.881472138908155</v>
      </c>
      <c r="J15" s="21"/>
    </row>
    <row r="16" ht="20.05" customHeight="1">
      <c r="B16" s="32">
        <v>2020</v>
      </c>
      <c r="C16" s="13">
        <v>985</v>
      </c>
      <c r="D16" s="14"/>
      <c r="E16" s="20">
        <v>60</v>
      </c>
      <c r="F16" s="14">
        <v>-23</v>
      </c>
      <c r="G16" s="11">
        <f>C16/C15-1</f>
        <v>-0.015984015984016</v>
      </c>
      <c r="H16" s="11">
        <f>(E16+F16-C16)/C16</f>
        <v>-0.96243654822335</v>
      </c>
      <c r="I16" s="11">
        <f>AVERAGE(H13:H16)</f>
        <v>-0.9007941472511219</v>
      </c>
      <c r="J16" s="11"/>
    </row>
    <row r="17" ht="20.05" customHeight="1">
      <c r="B17" s="31"/>
      <c r="C17" s="13">
        <v>755</v>
      </c>
      <c r="D17" s="14"/>
      <c r="E17" s="20">
        <v>60</v>
      </c>
      <c r="F17" s="14">
        <v>-22</v>
      </c>
      <c r="G17" s="11">
        <f>C17/C16-1</f>
        <v>-0.233502538071066</v>
      </c>
      <c r="H17" s="11">
        <f>(E17+F17-C17)/C17</f>
        <v>-0.949668874172185</v>
      </c>
      <c r="I17" s="11">
        <f>AVERAGE(H14:H17)</f>
        <v>-0.911327804150332</v>
      </c>
      <c r="J17" s="11"/>
    </row>
    <row r="18" ht="20.05" customHeight="1">
      <c r="B18" s="31"/>
      <c r="C18" s="13">
        <v>1020</v>
      </c>
      <c r="D18" s="14"/>
      <c r="E18" s="20">
        <v>60</v>
      </c>
      <c r="F18" s="14">
        <v>57</v>
      </c>
      <c r="G18" s="11">
        <f>C18/C17-1</f>
        <v>0.350993377483444</v>
      </c>
      <c r="H18" s="11">
        <f>(E18+F18-C18)/C18</f>
        <v>-0.885294117647059</v>
      </c>
      <c r="I18" s="11">
        <f>AVERAGE(H15:H18)</f>
        <v>-0.897901333562097</v>
      </c>
      <c r="J18" s="11"/>
    </row>
    <row r="19" ht="20.05" customHeight="1">
      <c r="B19" s="31"/>
      <c r="C19" s="13">
        <v>976</v>
      </c>
      <c r="D19" s="14"/>
      <c r="E19" s="20">
        <v>60</v>
      </c>
      <c r="F19" s="14">
        <v>134</v>
      </c>
      <c r="G19" s="11">
        <f>C19/C18-1</f>
        <v>-0.0431372549019608</v>
      </c>
      <c r="H19" s="11">
        <f>(E19+F19-C19)/C19</f>
        <v>-0.801229508196721</v>
      </c>
      <c r="I19" s="11">
        <f>AVERAGE(H16:H19)</f>
        <v>-0.899657262059829</v>
      </c>
      <c r="J19" s="11"/>
    </row>
    <row r="20" ht="20.05" customHeight="1">
      <c r="B20" s="32">
        <v>2021</v>
      </c>
      <c r="C20" s="13">
        <v>1079</v>
      </c>
      <c r="D20" s="14"/>
      <c r="E20" s="16">
        <v>69.75</v>
      </c>
      <c r="F20" s="14">
        <v>125</v>
      </c>
      <c r="G20" s="11">
        <f>C20/C19-1</f>
        <v>0.105532786885246</v>
      </c>
      <c r="H20" s="11">
        <f>(E20+F20-C20)/C20</f>
        <v>-0.819508804448563</v>
      </c>
      <c r="I20" s="11">
        <f>AVERAGE(H17:H20)</f>
        <v>-0.863925326116132</v>
      </c>
      <c r="J20" s="11"/>
    </row>
    <row r="21" ht="20.05" customHeight="1">
      <c r="B21" s="31"/>
      <c r="C21" s="13">
        <f>2041.9-C20</f>
        <v>962.9</v>
      </c>
      <c r="D21" s="14">
        <v>1122.16</v>
      </c>
      <c r="E21" s="16">
        <v>69.75</v>
      </c>
      <c r="F21" s="14">
        <f>238.7-F20</f>
        <v>113.7</v>
      </c>
      <c r="G21" s="11">
        <f>C21/C20-1</f>
        <v>-0.107599629286376</v>
      </c>
      <c r="H21" s="11">
        <f>(E21+F21-C21)/C21</f>
        <v>-0.809481773808287</v>
      </c>
      <c r="I21" s="11">
        <f>AVERAGE(H18:H21)</f>
        <v>-0.828878551025158</v>
      </c>
      <c r="J21" s="11"/>
    </row>
    <row r="22" ht="20.05" customHeight="1">
      <c r="B22" s="31"/>
      <c r="C22" s="13">
        <f>3190.4-SUM(C20:C21)</f>
        <v>1148.5</v>
      </c>
      <c r="D22" s="14">
        <v>1078.448</v>
      </c>
      <c r="E22" s="16">
        <v>69.75</v>
      </c>
      <c r="F22" s="14">
        <f>429.7-SUM(F20:F21)</f>
        <v>191</v>
      </c>
      <c r="G22" s="11">
        <f>C22/C21-1</f>
        <v>0.192751064492678</v>
      </c>
      <c r="H22" s="11">
        <f>(E22+F22-C22)/C22</f>
        <v>-0.772964736612973</v>
      </c>
      <c r="I22" s="11">
        <f>AVERAGE(H19:H22)</f>
        <v>-0.800796205766636</v>
      </c>
      <c r="J22" s="11"/>
    </row>
    <row r="23" ht="20.05" customHeight="1">
      <c r="B23" s="31"/>
      <c r="C23" s="13">
        <f>4450-C22-C21-C20</f>
        <v>1259.6</v>
      </c>
      <c r="D23" s="14">
        <v>1171.47</v>
      </c>
      <c r="E23" s="16">
        <v>69.75</v>
      </c>
      <c r="F23" s="14">
        <f>647-F22-F21-F20</f>
        <v>217.3</v>
      </c>
      <c r="G23" s="11">
        <f>C23/C22-1</f>
        <v>0.0967348715716152</v>
      </c>
      <c r="H23" s="11">
        <f>(E23+F23-C23)/C23</f>
        <v>-0.7721101937122899</v>
      </c>
      <c r="I23" s="11">
        <f>AVERAGE(H20:H23)</f>
        <v>-0.793516377145528</v>
      </c>
      <c r="J23" s="11"/>
    </row>
    <row r="24" ht="20.05" customHeight="1">
      <c r="B24" s="32">
        <v>2022</v>
      </c>
      <c r="C24" s="13">
        <v>1331.7</v>
      </c>
      <c r="D24" s="14">
        <v>1247.004</v>
      </c>
      <c r="E24" s="20">
        <f>63.7+2.3</f>
        <v>66</v>
      </c>
      <c r="F24" s="14">
        <v>254.9</v>
      </c>
      <c r="G24" s="11">
        <f>C24/C23-1</f>
        <v>0.0572403937758018</v>
      </c>
      <c r="H24" s="11">
        <f>(E24+F24-C24)/C24</f>
        <v>-0.759029811519111</v>
      </c>
      <c r="I24" s="11">
        <f>AVERAGE(H21:H24)</f>
        <v>-0.778396628913165</v>
      </c>
      <c r="J24" s="11">
        <v>-0.793516377145528</v>
      </c>
    </row>
    <row r="25" ht="20.05" customHeight="1">
      <c r="B25" s="31"/>
      <c r="C25" s="23"/>
      <c r="D25" s="14">
        <f>'Model'!C6</f>
        <v>1345.017</v>
      </c>
      <c r="E25" s="21"/>
      <c r="F25" s="21"/>
      <c r="G25" s="11"/>
      <c r="H25" s="11"/>
      <c r="I25" s="11"/>
      <c r="J25" s="11">
        <f>'Model'!C7</f>
        <v>-0.759029811519111</v>
      </c>
    </row>
    <row r="26" ht="20.05" customHeight="1">
      <c r="B26" s="31"/>
      <c r="C26" s="23"/>
      <c r="D26" s="14">
        <f>'Model'!D6</f>
        <v>1546.76955</v>
      </c>
      <c r="E26" s="21"/>
      <c r="F26" s="21"/>
      <c r="G26" s="11"/>
      <c r="H26" s="11"/>
      <c r="I26" s="11"/>
      <c r="J26" s="11"/>
    </row>
    <row r="27" ht="20.05" customHeight="1">
      <c r="B27" s="31"/>
      <c r="C27" s="23"/>
      <c r="D27" s="14">
        <f>'Model'!E6</f>
        <v>1701.446505</v>
      </c>
      <c r="E27" s="14">
        <f>SUM(C21:C24)</f>
        <v>4702.7</v>
      </c>
      <c r="F27" s="14">
        <f>SUM(D21:D24)</f>
        <v>4619.082</v>
      </c>
      <c r="G27" s="11"/>
      <c r="H27" s="11"/>
      <c r="I27" s="11"/>
      <c r="J27" s="11"/>
    </row>
    <row r="28" ht="20.05" customHeight="1">
      <c r="B28" s="32">
        <v>2023</v>
      </c>
      <c r="C28" s="23"/>
      <c r="D28" s="14">
        <f>'Model'!F6</f>
        <v>1684.43203995</v>
      </c>
      <c r="E28" s="21"/>
      <c r="F28" s="21"/>
      <c r="G28" s="11"/>
      <c r="H28" s="11"/>
      <c r="I28" s="11"/>
      <c r="J28" s="1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72656" style="33" customWidth="1"/>
    <col min="2" max="14" width="10.2969" style="33" customWidth="1"/>
    <col min="15" max="16384" width="16.3516" style="33" customWidth="1"/>
  </cols>
  <sheetData>
    <row r="1" ht="17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45</v>
      </c>
      <c r="D3" t="s" s="5">
        <v>8</v>
      </c>
      <c r="E3" t="s" s="5">
        <v>9</v>
      </c>
      <c r="F3" t="s" s="5">
        <v>11</v>
      </c>
      <c r="G3" t="s" s="5">
        <v>14</v>
      </c>
      <c r="H3" t="s" s="5">
        <v>46</v>
      </c>
      <c r="I3" t="s" s="5">
        <v>47</v>
      </c>
      <c r="J3" t="s" s="5">
        <v>3</v>
      </c>
      <c r="K3" t="s" s="5">
        <v>33</v>
      </c>
      <c r="L3" t="s" s="5">
        <v>28</v>
      </c>
      <c r="M3" t="s" s="5">
        <v>33</v>
      </c>
      <c r="N3" s="34"/>
    </row>
    <row r="4" ht="20.25" customHeight="1">
      <c r="B4" s="27">
        <v>2017</v>
      </c>
      <c r="C4" s="28">
        <v>1476</v>
      </c>
      <c r="D4" s="29">
        <v>160</v>
      </c>
      <c r="E4" s="29">
        <v>-97</v>
      </c>
      <c r="F4" s="29"/>
      <c r="G4" s="29"/>
      <c r="H4" s="29">
        <v>-60</v>
      </c>
      <c r="I4" s="29">
        <f>D4+E4</f>
        <v>63</v>
      </c>
      <c r="J4" s="35"/>
      <c r="K4" s="29"/>
      <c r="L4" s="29">
        <f>-H4</f>
        <v>60</v>
      </c>
      <c r="M4" s="29"/>
      <c r="N4" s="29">
        <v>1</v>
      </c>
    </row>
    <row r="5" ht="20.05" customHeight="1">
      <c r="B5" s="31"/>
      <c r="C5" s="13">
        <v>1567</v>
      </c>
      <c r="D5" s="14">
        <v>137</v>
      </c>
      <c r="E5" s="14">
        <v>-9</v>
      </c>
      <c r="F5" s="14"/>
      <c r="G5" s="14"/>
      <c r="H5" s="14">
        <v>-69</v>
      </c>
      <c r="I5" s="14">
        <f>D5+E5</f>
        <v>128</v>
      </c>
      <c r="J5" s="21"/>
      <c r="K5" s="14"/>
      <c r="L5" s="14">
        <f>-H5+L4</f>
        <v>129</v>
      </c>
      <c r="M5" s="14"/>
      <c r="N5" s="14">
        <f>1+N4</f>
        <v>2</v>
      </c>
    </row>
    <row r="6" ht="20.05" customHeight="1">
      <c r="B6" s="31"/>
      <c r="C6" s="13">
        <v>1554</v>
      </c>
      <c r="D6" s="14">
        <v>42</v>
      </c>
      <c r="E6" s="14">
        <v>-35</v>
      </c>
      <c r="F6" s="14"/>
      <c r="G6" s="14"/>
      <c r="H6" s="14">
        <v>-60</v>
      </c>
      <c r="I6" s="14">
        <f>D6+E6</f>
        <v>7</v>
      </c>
      <c r="J6" s="21"/>
      <c r="K6" s="14"/>
      <c r="L6" s="14">
        <f>-H6+L5</f>
        <v>189</v>
      </c>
      <c r="M6" s="14"/>
      <c r="N6" s="14">
        <f>1+N5</f>
        <v>3</v>
      </c>
    </row>
    <row r="7" ht="20.05" customHeight="1">
      <c r="B7" s="31"/>
      <c r="C7" s="13">
        <v>1561</v>
      </c>
      <c r="D7" s="14">
        <v>-95</v>
      </c>
      <c r="E7" s="14">
        <v>435</v>
      </c>
      <c r="F7" s="14"/>
      <c r="G7" s="14"/>
      <c r="H7" s="14">
        <v>-297</v>
      </c>
      <c r="I7" s="14">
        <f>D7+E7</f>
        <v>340</v>
      </c>
      <c r="J7" s="21"/>
      <c r="K7" s="14"/>
      <c r="L7" s="14">
        <f>-H7+L6</f>
        <v>486</v>
      </c>
      <c r="M7" s="14"/>
      <c r="N7" s="14">
        <f>1+N6</f>
        <v>4</v>
      </c>
    </row>
    <row r="8" ht="20.05" customHeight="1">
      <c r="B8" s="32">
        <v>2018</v>
      </c>
      <c r="C8" s="13">
        <v>1557</v>
      </c>
      <c r="D8" s="14">
        <v>-4</v>
      </c>
      <c r="E8" s="14">
        <v>-41</v>
      </c>
      <c r="F8" s="14"/>
      <c r="G8" s="14"/>
      <c r="H8" s="14">
        <v>-0.3</v>
      </c>
      <c r="I8" s="14">
        <f>D8+E8</f>
        <v>-45</v>
      </c>
      <c r="J8" s="14">
        <f>AVERAGE(I5:I8)</f>
        <v>107.5</v>
      </c>
      <c r="K8" s="14"/>
      <c r="L8" s="14">
        <f>-H8+L7</f>
        <v>486.3</v>
      </c>
      <c r="M8" s="14"/>
      <c r="N8" s="14">
        <f>1+N7</f>
        <v>5</v>
      </c>
    </row>
    <row r="9" ht="20.05" customHeight="1">
      <c r="B9" s="31"/>
      <c r="C9" s="13">
        <v>1625</v>
      </c>
      <c r="D9" s="14">
        <v>95</v>
      </c>
      <c r="E9" s="14">
        <v>-23</v>
      </c>
      <c r="F9" s="14"/>
      <c r="G9" s="14"/>
      <c r="H9" s="14">
        <v>-62.7</v>
      </c>
      <c r="I9" s="14">
        <f>D9+E9</f>
        <v>72</v>
      </c>
      <c r="J9" s="14">
        <f>AVERAGE(I6:I9)</f>
        <v>93.5</v>
      </c>
      <c r="K9" s="14"/>
      <c r="L9" s="14">
        <f>-H9+L8</f>
        <v>549</v>
      </c>
      <c r="M9" s="14"/>
      <c r="N9" s="14">
        <f>1+N8</f>
        <v>6</v>
      </c>
    </row>
    <row r="10" ht="20.05" customHeight="1">
      <c r="B10" s="31"/>
      <c r="C10" s="13">
        <v>1451</v>
      </c>
      <c r="D10" s="14">
        <v>101</v>
      </c>
      <c r="E10" s="14">
        <v>-91</v>
      </c>
      <c r="F10" s="14"/>
      <c r="G10" s="14"/>
      <c r="H10" s="14">
        <v>-30</v>
      </c>
      <c r="I10" s="14">
        <f>D10+E10</f>
        <v>10</v>
      </c>
      <c r="J10" s="14">
        <f>AVERAGE(I7:I10)</f>
        <v>94.25</v>
      </c>
      <c r="K10" s="14"/>
      <c r="L10" s="14">
        <f>-H10+L9</f>
        <v>579</v>
      </c>
      <c r="M10" s="14"/>
      <c r="N10" s="14">
        <f>1+N9</f>
        <v>7</v>
      </c>
    </row>
    <row r="11" ht="20.05" customHeight="1">
      <c r="B11" s="31"/>
      <c r="C11" s="13">
        <v>1073</v>
      </c>
      <c r="D11" s="14">
        <v>35</v>
      </c>
      <c r="E11" s="14">
        <v>-72</v>
      </c>
      <c r="F11" s="14"/>
      <c r="G11" s="14"/>
      <c r="H11" s="14">
        <v>38</v>
      </c>
      <c r="I11" s="14">
        <f>D11+E11</f>
        <v>-37</v>
      </c>
      <c r="J11" s="14">
        <f>AVERAGE(I8:I11)</f>
        <v>0</v>
      </c>
      <c r="K11" s="14"/>
      <c r="L11" s="14">
        <f>-H11+L10</f>
        <v>541</v>
      </c>
      <c r="M11" s="14"/>
      <c r="N11" s="14">
        <f>1+N10</f>
        <v>8</v>
      </c>
    </row>
    <row r="12" ht="20.05" customHeight="1">
      <c r="B12" s="32">
        <v>2019</v>
      </c>
      <c r="C12" s="13">
        <v>914</v>
      </c>
      <c r="D12" s="14">
        <v>-23</v>
      </c>
      <c r="E12" s="14">
        <v>-24</v>
      </c>
      <c r="F12" s="14"/>
      <c r="G12" s="14"/>
      <c r="H12" s="14">
        <v>29</v>
      </c>
      <c r="I12" s="14">
        <f>D12+E12</f>
        <v>-47</v>
      </c>
      <c r="J12" s="14">
        <f>AVERAGE(I9:I12)</f>
        <v>-0.5</v>
      </c>
      <c r="K12" s="14"/>
      <c r="L12" s="14">
        <f>-H12+L11</f>
        <v>512</v>
      </c>
      <c r="M12" s="14"/>
      <c r="N12" s="14">
        <f>1+N11</f>
        <v>9</v>
      </c>
    </row>
    <row r="13" ht="20.05" customHeight="1">
      <c r="B13" s="31"/>
      <c r="C13" s="13">
        <v>1043</v>
      </c>
      <c r="D13" s="14">
        <v>59</v>
      </c>
      <c r="E13" s="14">
        <v>-50</v>
      </c>
      <c r="F13" s="14"/>
      <c r="G13" s="14"/>
      <c r="H13" s="14">
        <v>11</v>
      </c>
      <c r="I13" s="14">
        <f>D13+E13</f>
        <v>9</v>
      </c>
      <c r="J13" s="14">
        <f>AVERAGE(I10:I13)</f>
        <v>-16.25</v>
      </c>
      <c r="K13" s="14"/>
      <c r="L13" s="14">
        <f>-H13+L12</f>
        <v>501</v>
      </c>
      <c r="M13" s="14"/>
      <c r="N13" s="14">
        <f>1+N12</f>
        <v>10</v>
      </c>
    </row>
    <row r="14" ht="20.05" customHeight="1">
      <c r="B14" s="31"/>
      <c r="C14" s="13">
        <v>963</v>
      </c>
      <c r="D14" s="14">
        <v>51</v>
      </c>
      <c r="E14" s="14">
        <v>-84</v>
      </c>
      <c r="F14" s="14"/>
      <c r="G14" s="14"/>
      <c r="H14" s="14">
        <v>135</v>
      </c>
      <c r="I14" s="14">
        <f>D14+E14</f>
        <v>-33</v>
      </c>
      <c r="J14" s="14">
        <f>AVERAGE(I11:I14)</f>
        <v>-27</v>
      </c>
      <c r="K14" s="14"/>
      <c r="L14" s="14">
        <f>-H14+L13</f>
        <v>366</v>
      </c>
      <c r="M14" s="14"/>
      <c r="N14" s="14">
        <f>1+N13</f>
        <v>11</v>
      </c>
    </row>
    <row r="15" ht="20.05" customHeight="1">
      <c r="B15" s="31"/>
      <c r="C15" s="13">
        <v>952</v>
      </c>
      <c r="D15" s="14">
        <v>89</v>
      </c>
      <c r="E15" s="14">
        <v>-178</v>
      </c>
      <c r="F15" s="14"/>
      <c r="G15" s="14"/>
      <c r="H15" s="14">
        <v>67</v>
      </c>
      <c r="I15" s="14">
        <f>D15+E15</f>
        <v>-89</v>
      </c>
      <c r="J15" s="14">
        <f>AVERAGE(I12:I15)</f>
        <v>-40</v>
      </c>
      <c r="K15" s="14"/>
      <c r="L15" s="14">
        <f>-H15+L14</f>
        <v>299</v>
      </c>
      <c r="M15" s="14"/>
      <c r="N15" s="14">
        <f>1+N14</f>
        <v>12</v>
      </c>
    </row>
    <row r="16" ht="20.05" customHeight="1">
      <c r="B16" s="32">
        <v>2020</v>
      </c>
      <c r="C16" s="13">
        <v>939</v>
      </c>
      <c r="D16" s="14">
        <v>149</v>
      </c>
      <c r="E16" s="14">
        <v>-144</v>
      </c>
      <c r="F16" s="14"/>
      <c r="G16" s="14"/>
      <c r="H16" s="14">
        <v>-8</v>
      </c>
      <c r="I16" s="14">
        <f>D16+E16</f>
        <v>5</v>
      </c>
      <c r="J16" s="14">
        <f>AVERAGE(I13:I16)</f>
        <v>-27</v>
      </c>
      <c r="K16" s="14"/>
      <c r="L16" s="14">
        <f>-H16+L15</f>
        <v>307</v>
      </c>
      <c r="M16" s="14"/>
      <c r="N16" s="14">
        <f>1+N15</f>
        <v>13</v>
      </c>
    </row>
    <row r="17" ht="20.05" customHeight="1">
      <c r="B17" s="31"/>
      <c r="C17" s="13">
        <v>887</v>
      </c>
      <c r="D17" s="14">
        <v>33</v>
      </c>
      <c r="E17" s="14">
        <v>-7</v>
      </c>
      <c r="F17" s="14"/>
      <c r="G17" s="14"/>
      <c r="H17" s="14">
        <v>-52</v>
      </c>
      <c r="I17" s="14">
        <f>D17+E17</f>
        <v>26</v>
      </c>
      <c r="J17" s="14">
        <f>AVERAGE(I14:I17)</f>
        <v>-22.75</v>
      </c>
      <c r="K17" s="14"/>
      <c r="L17" s="14">
        <f>-H17+L16</f>
        <v>359</v>
      </c>
      <c r="M17" s="14"/>
      <c r="N17" s="14">
        <f>1+N16</f>
        <v>14</v>
      </c>
    </row>
    <row r="18" ht="20.05" customHeight="1">
      <c r="B18" s="31"/>
      <c r="C18" s="13">
        <v>1028</v>
      </c>
      <c r="D18" s="14">
        <v>128</v>
      </c>
      <c r="E18" s="14">
        <v>3</v>
      </c>
      <c r="F18" s="14"/>
      <c r="G18" s="14"/>
      <c r="H18" s="14">
        <v>-50</v>
      </c>
      <c r="I18" s="14">
        <f>D18+E18</f>
        <v>131</v>
      </c>
      <c r="J18" s="14">
        <f>AVERAGE(I15:I18)</f>
        <v>18.25</v>
      </c>
      <c r="K18" s="14"/>
      <c r="L18" s="14">
        <f>-H18+L17</f>
        <v>409</v>
      </c>
      <c r="M18" s="14"/>
      <c r="N18" s="14">
        <f>1+N17</f>
        <v>15</v>
      </c>
    </row>
    <row r="19" ht="20.05" customHeight="1">
      <c r="B19" s="31"/>
      <c r="C19" s="13">
        <v>851</v>
      </c>
      <c r="D19" s="14">
        <v>89</v>
      </c>
      <c r="E19" s="14">
        <v>-43</v>
      </c>
      <c r="F19" s="14"/>
      <c r="G19" s="14"/>
      <c r="H19" s="14">
        <v>-57</v>
      </c>
      <c r="I19" s="14">
        <f>D19+E19</f>
        <v>46</v>
      </c>
      <c r="J19" s="14">
        <f>AVERAGE(I16:I19)</f>
        <v>52</v>
      </c>
      <c r="K19" s="14"/>
      <c r="L19" s="14">
        <f>-H19+L18</f>
        <v>466</v>
      </c>
      <c r="M19" s="14"/>
      <c r="N19" s="14">
        <f>1+N18</f>
        <v>16</v>
      </c>
    </row>
    <row r="20" ht="20.05" customHeight="1">
      <c r="B20" s="32">
        <v>2021</v>
      </c>
      <c r="C20" s="13">
        <v>1094</v>
      </c>
      <c r="D20" s="14">
        <v>412</v>
      </c>
      <c r="E20" s="14">
        <v>-39</v>
      </c>
      <c r="F20" s="14">
        <f>79-160-49</f>
        <v>-130</v>
      </c>
      <c r="G20" s="14">
        <v>1.3</v>
      </c>
      <c r="H20" s="14">
        <v>-162</v>
      </c>
      <c r="I20" s="14">
        <f>D20+E20</f>
        <v>373</v>
      </c>
      <c r="J20" s="14">
        <f>AVERAGE(I17:I20)</f>
        <v>144</v>
      </c>
      <c r="K20" s="14"/>
      <c r="L20" s="14">
        <f>-H20+L19</f>
        <v>628</v>
      </c>
      <c r="M20" s="14"/>
      <c r="N20" s="14">
        <f>1+N19</f>
        <v>17</v>
      </c>
    </row>
    <row r="21" ht="20.05" customHeight="1">
      <c r="B21" s="31"/>
      <c r="C21" s="13">
        <f>2093.8-C20</f>
        <v>999.8</v>
      </c>
      <c r="D21" s="14">
        <f>488.8-D20</f>
        <v>76.8</v>
      </c>
      <c r="E21" s="14">
        <f>-100.5-E20</f>
        <v>-61.5</v>
      </c>
      <c r="F21" s="14">
        <f>122-237-114-F20</f>
        <v>-99</v>
      </c>
      <c r="G21" s="14"/>
      <c r="H21" s="14">
        <f>-272.4-H20</f>
        <v>-110.4</v>
      </c>
      <c r="I21" s="14">
        <f>D21+E21</f>
        <v>15.3</v>
      </c>
      <c r="J21" s="14">
        <f>AVERAGE(I18:I21)</f>
        <v>141.325</v>
      </c>
      <c r="K21" s="14"/>
      <c r="L21" s="14">
        <f>-H21+L20</f>
        <v>738.4</v>
      </c>
      <c r="M21" s="14"/>
      <c r="N21" s="14">
        <f>1+N20</f>
        <v>18</v>
      </c>
    </row>
    <row r="22" ht="20.05" customHeight="1">
      <c r="B22" s="31"/>
      <c r="C22" s="13">
        <f>3114.2-SUM(C20:C21)</f>
        <v>1020.4</v>
      </c>
      <c r="D22" s="14">
        <f>644.6-SUM(D20:D21)</f>
        <v>155.8</v>
      </c>
      <c r="E22" s="14">
        <f>-251.9-SUM(E20:E21)</f>
        <v>-151.4</v>
      </c>
      <c r="F22" s="14">
        <f>271-280-162-F21-F20</f>
        <v>58</v>
      </c>
      <c r="G22" s="14"/>
      <c r="H22" s="14">
        <f>-202.4-SUM(H20:H21)</f>
        <v>70</v>
      </c>
      <c r="I22" s="14">
        <f>D22+E22</f>
        <v>4.4</v>
      </c>
      <c r="J22" s="14">
        <f>AVERAGE(I19:I22)</f>
        <v>109.675</v>
      </c>
      <c r="K22" s="14"/>
      <c r="L22" s="14">
        <f>-H22+L21</f>
        <v>668.4</v>
      </c>
      <c r="M22" s="14"/>
      <c r="N22" s="14">
        <f>1+N21</f>
        <v>19</v>
      </c>
    </row>
    <row r="23" ht="20.05" customHeight="1">
      <c r="B23" s="31"/>
      <c r="C23" s="13">
        <f>4287-C22-C21-C20</f>
        <v>1172.8</v>
      </c>
      <c r="D23" s="14">
        <f>873-D22-D21-D20</f>
        <v>228.4</v>
      </c>
      <c r="E23" s="14">
        <f>-280-E22-E21-E20</f>
        <v>-28.1</v>
      </c>
      <c r="F23" s="14">
        <f>377-407-229-F22-F21-F20</f>
        <v>-88</v>
      </c>
      <c r="G23" s="14">
        <f>1.3-G22-G21-G20</f>
        <v>0</v>
      </c>
      <c r="H23" s="14">
        <f>-298-H22-H21-H20</f>
        <v>-95.59999999999999</v>
      </c>
      <c r="I23" s="14">
        <f>D23+E23</f>
        <v>200.3</v>
      </c>
      <c r="J23" s="14">
        <f>AVERAGE(I20:I23)</f>
        <v>148.25</v>
      </c>
      <c r="K23" s="14"/>
      <c r="L23" s="14">
        <f>-H23+L22</f>
        <v>764</v>
      </c>
      <c r="M23" s="14"/>
      <c r="N23" s="14">
        <f>1+N22</f>
        <v>20</v>
      </c>
    </row>
    <row r="24" ht="20.05" customHeight="1">
      <c r="B24" s="32">
        <v>2022</v>
      </c>
      <c r="C24" s="13">
        <v>1287.4</v>
      </c>
      <c r="D24" s="14">
        <v>409.5</v>
      </c>
      <c r="E24" s="14">
        <v>-9.1</v>
      </c>
      <c r="F24" s="14">
        <f>H24-G24</f>
        <v>-64.59999999999999</v>
      </c>
      <c r="G24" s="14">
        <v>0</v>
      </c>
      <c r="H24" s="14">
        <v>-64.59999999999999</v>
      </c>
      <c r="I24" s="14">
        <f>D24+E24</f>
        <v>400.4</v>
      </c>
      <c r="J24" s="14">
        <f>AVERAGE(I21:I24)</f>
        <v>155.1</v>
      </c>
      <c r="K24" s="14">
        <v>258.976864778</v>
      </c>
      <c r="L24" s="14">
        <f>-H24+L23</f>
        <v>828.6</v>
      </c>
      <c r="M24" s="14">
        <v>1440.377731630660</v>
      </c>
      <c r="N24" s="14">
        <f>1+N23</f>
        <v>21</v>
      </c>
    </row>
    <row r="25" ht="20.05" customHeight="1">
      <c r="B25" s="31"/>
      <c r="C25" s="13"/>
      <c r="D25" s="14"/>
      <c r="E25" s="14"/>
      <c r="F25" s="14"/>
      <c r="G25" s="14"/>
      <c r="H25" s="14"/>
      <c r="I25" s="14"/>
      <c r="J25" s="21"/>
      <c r="K25" s="14">
        <f>SUM('Model'!F9:F10)</f>
        <v>396.79790615</v>
      </c>
      <c r="L25" s="21"/>
      <c r="M25" s="14">
        <f>'Model'!F33</f>
        <v>1715.738273595</v>
      </c>
      <c r="N25" s="14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" style="36" customWidth="1"/>
    <col min="2" max="2" width="8.64062" style="36" customWidth="1"/>
    <col min="3" max="11" width="10.2656" style="36" customWidth="1"/>
    <col min="12" max="16384" width="16.3516" style="36" customWidth="1"/>
  </cols>
  <sheetData>
    <row r="1" ht="12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48</v>
      </c>
      <c r="D3" t="s" s="5">
        <v>49</v>
      </c>
      <c r="E3" t="s" s="5">
        <v>22</v>
      </c>
      <c r="F3" t="s" s="5">
        <v>23</v>
      </c>
      <c r="G3" t="s" s="5">
        <v>11</v>
      </c>
      <c r="H3" t="s" s="5">
        <v>14</v>
      </c>
      <c r="I3" t="s" s="5">
        <v>25</v>
      </c>
      <c r="J3" t="s" s="5">
        <v>26</v>
      </c>
      <c r="K3" t="s" s="5">
        <v>33</v>
      </c>
    </row>
    <row r="4" ht="20.25" customHeight="1">
      <c r="B4" s="27">
        <v>2018</v>
      </c>
      <c r="C4" s="28">
        <v>63</v>
      </c>
      <c r="D4" s="29">
        <v>5230</v>
      </c>
      <c r="E4" s="29">
        <f>D4-C4</f>
        <v>5167</v>
      </c>
      <c r="F4" s="29"/>
      <c r="G4" s="29">
        <v>3403</v>
      </c>
      <c r="H4" s="29">
        <v>1827</v>
      </c>
      <c r="I4" s="29">
        <f>G4+H4-C4-E4</f>
        <v>0</v>
      </c>
      <c r="J4" s="29">
        <f>C4-G4</f>
        <v>-3340</v>
      </c>
      <c r="K4" s="29"/>
    </row>
    <row r="5" ht="20.05" customHeight="1">
      <c r="B5" s="31"/>
      <c r="C5" s="13">
        <v>73</v>
      </c>
      <c r="D5" s="14">
        <v>5130</v>
      </c>
      <c r="E5" s="14">
        <f>D5-C5</f>
        <v>5057</v>
      </c>
      <c r="F5" s="14"/>
      <c r="G5" s="14">
        <v>3288</v>
      </c>
      <c r="H5" s="14">
        <v>1842</v>
      </c>
      <c r="I5" s="14">
        <f>G5+H5-C5-E5</f>
        <v>0</v>
      </c>
      <c r="J5" s="14">
        <f>C5-G5</f>
        <v>-3215</v>
      </c>
      <c r="K5" s="14"/>
    </row>
    <row r="6" ht="20.05" customHeight="1">
      <c r="B6" s="31"/>
      <c r="C6" s="13">
        <v>49</v>
      </c>
      <c r="D6" s="14">
        <v>5057</v>
      </c>
      <c r="E6" s="14">
        <f>D6-C6</f>
        <v>5008</v>
      </c>
      <c r="F6" s="14"/>
      <c r="G6" s="14">
        <v>3160</v>
      </c>
      <c r="H6" s="14">
        <v>1897</v>
      </c>
      <c r="I6" s="14">
        <f>G6+H6-C6-E6</f>
        <v>0</v>
      </c>
      <c r="J6" s="14">
        <f>C6-G6</f>
        <v>-3111</v>
      </c>
      <c r="K6" s="14"/>
    </row>
    <row r="7" ht="20.05" customHeight="1">
      <c r="B7" s="31"/>
      <c r="C7" s="13">
        <v>56</v>
      </c>
      <c r="D7" s="14">
        <v>5264</v>
      </c>
      <c r="E7" s="14">
        <f>D7-C7</f>
        <v>5208</v>
      </c>
      <c r="F7" s="14"/>
      <c r="G7" s="14">
        <v>3022</v>
      </c>
      <c r="H7" s="14">
        <v>2241</v>
      </c>
      <c r="I7" s="14">
        <f>G7+H7-C7-E7</f>
        <v>-1</v>
      </c>
      <c r="J7" s="14">
        <f>C7-G7</f>
        <v>-2966</v>
      </c>
      <c r="K7" s="14"/>
    </row>
    <row r="8" ht="20.05" customHeight="1">
      <c r="B8" s="32">
        <v>2019</v>
      </c>
      <c r="C8" s="13">
        <v>38</v>
      </c>
      <c r="D8" s="14">
        <v>5343</v>
      </c>
      <c r="E8" s="14">
        <f>D8-C8</f>
        <v>5305</v>
      </c>
      <c r="F8" s="14"/>
      <c r="G8" s="14">
        <v>3046</v>
      </c>
      <c r="H8" s="14">
        <v>2297</v>
      </c>
      <c r="I8" s="14">
        <f>G8+H8-C8-E8</f>
        <v>0</v>
      </c>
      <c r="J8" s="14">
        <f>C8-G8</f>
        <v>-3008</v>
      </c>
      <c r="K8" s="14"/>
    </row>
    <row r="9" ht="20.05" customHeight="1">
      <c r="B9" s="31"/>
      <c r="C9" s="13">
        <v>58</v>
      </c>
      <c r="D9" s="14">
        <v>5247</v>
      </c>
      <c r="E9" s="14">
        <f>D9-C9</f>
        <v>5189</v>
      </c>
      <c r="F9" s="14"/>
      <c r="G9" s="14">
        <v>2926</v>
      </c>
      <c r="H9" s="14">
        <v>2321</v>
      </c>
      <c r="I9" s="14">
        <f>G9+H9-C9-E9</f>
        <v>0</v>
      </c>
      <c r="J9" s="14">
        <f>C9-G9</f>
        <v>-2868</v>
      </c>
      <c r="K9" s="14"/>
    </row>
    <row r="10" ht="20.05" customHeight="1">
      <c r="B10" s="31"/>
      <c r="C10" s="13">
        <v>159</v>
      </c>
      <c r="D10" s="14">
        <v>5396</v>
      </c>
      <c r="E10" s="14">
        <f>D10-C10</f>
        <v>5237</v>
      </c>
      <c r="F10" s="14"/>
      <c r="G10" s="14">
        <v>3041</v>
      </c>
      <c r="H10" s="14">
        <v>2355</v>
      </c>
      <c r="I10" s="14">
        <f>G10+H10-C10-E10</f>
        <v>0</v>
      </c>
      <c r="J10" s="14">
        <f>C10-G10</f>
        <v>-2882</v>
      </c>
      <c r="K10" s="14"/>
    </row>
    <row r="11" ht="20.05" customHeight="1">
      <c r="B11" s="31"/>
      <c r="C11" s="13">
        <v>137</v>
      </c>
      <c r="D11" s="14">
        <v>5758</v>
      </c>
      <c r="E11" s="14">
        <f>D11-C11</f>
        <v>5621</v>
      </c>
      <c r="F11" s="14"/>
      <c r="G11" s="14">
        <v>3225</v>
      </c>
      <c r="H11" s="14">
        <v>2533</v>
      </c>
      <c r="I11" s="14">
        <f>G11+H11-C11-E11</f>
        <v>0</v>
      </c>
      <c r="J11" s="14">
        <f>C11-G11</f>
        <v>-3088</v>
      </c>
      <c r="K11" s="14"/>
    </row>
    <row r="12" ht="20.05" customHeight="1">
      <c r="B12" s="32">
        <v>2020</v>
      </c>
      <c r="C12" s="13">
        <v>131</v>
      </c>
      <c r="D12" s="14">
        <v>5927</v>
      </c>
      <c r="E12" s="14">
        <f>D12-C12</f>
        <v>5796</v>
      </c>
      <c r="F12" s="14"/>
      <c r="G12" s="14">
        <v>3434</v>
      </c>
      <c r="H12" s="14">
        <v>2494</v>
      </c>
      <c r="I12" s="14">
        <f>G12+H12-C12-E12</f>
        <v>1</v>
      </c>
      <c r="J12" s="14">
        <f>C12-G12</f>
        <v>-3303</v>
      </c>
      <c r="K12" s="14"/>
    </row>
    <row r="13" ht="20.05" customHeight="1">
      <c r="B13" s="31"/>
      <c r="C13" s="13">
        <v>108</v>
      </c>
      <c r="D13" s="14">
        <v>5725</v>
      </c>
      <c r="E13" s="14">
        <f>D13-C13</f>
        <v>5617</v>
      </c>
      <c r="F13" s="14"/>
      <c r="G13" s="14">
        <v>3255</v>
      </c>
      <c r="H13" s="14">
        <v>2470</v>
      </c>
      <c r="I13" s="14">
        <f>G13+H13-C13-E13</f>
        <v>0</v>
      </c>
      <c r="J13" s="14">
        <f>C13-G13</f>
        <v>-3147</v>
      </c>
      <c r="K13" s="14"/>
    </row>
    <row r="14" ht="20.05" customHeight="1">
      <c r="B14" s="31"/>
      <c r="C14" s="13">
        <v>192</v>
      </c>
      <c r="D14" s="14">
        <v>5658</v>
      </c>
      <c r="E14" s="14">
        <f>D14-C14</f>
        <v>5466</v>
      </c>
      <c r="F14" s="14"/>
      <c r="G14" s="14">
        <v>3130</v>
      </c>
      <c r="H14" s="14">
        <v>2528</v>
      </c>
      <c r="I14" s="14">
        <f>G14+H14-C14-E14</f>
        <v>0</v>
      </c>
      <c r="J14" s="14">
        <f>C14-G14</f>
        <v>-2938</v>
      </c>
      <c r="K14" s="14"/>
    </row>
    <row r="15" ht="20.05" customHeight="1">
      <c r="B15" s="31"/>
      <c r="C15" s="13">
        <v>179</v>
      </c>
      <c r="D15" s="14">
        <v>5745</v>
      </c>
      <c r="E15" s="14">
        <f>D15-C15</f>
        <v>5566</v>
      </c>
      <c r="F15" s="14"/>
      <c r="G15" s="14">
        <v>3067</v>
      </c>
      <c r="H15" s="14">
        <v>2678</v>
      </c>
      <c r="I15" s="14">
        <f>G15+H15-C15-E15</f>
        <v>0</v>
      </c>
      <c r="J15" s="14">
        <f>C15-G15</f>
        <v>-2888</v>
      </c>
      <c r="K15" s="14"/>
    </row>
    <row r="16" ht="20.05" customHeight="1">
      <c r="B16" s="32">
        <v>2021</v>
      </c>
      <c r="C16" s="13">
        <v>392</v>
      </c>
      <c r="D16" s="14">
        <v>5892</v>
      </c>
      <c r="E16" s="14">
        <f>D16-C16</f>
        <v>5500</v>
      </c>
      <c r="F16" s="14">
        <v>4482</v>
      </c>
      <c r="G16" s="14">
        <v>3088</v>
      </c>
      <c r="H16" s="14">
        <v>2804</v>
      </c>
      <c r="I16" s="14">
        <f>G16+H16-C16-E16</f>
        <v>0</v>
      </c>
      <c r="J16" s="14">
        <f>C16-G16</f>
        <v>-2696</v>
      </c>
      <c r="K16" s="14"/>
    </row>
    <row r="17" ht="20.05" customHeight="1">
      <c r="B17" s="31"/>
      <c r="C17" s="13">
        <v>297</v>
      </c>
      <c r="D17" s="14">
        <v>5777</v>
      </c>
      <c r="E17" s="14">
        <f>D17-C17</f>
        <v>5480</v>
      </c>
      <c r="F17" s="14">
        <v>4544</v>
      </c>
      <c r="G17" s="14">
        <v>2859</v>
      </c>
      <c r="H17" s="14">
        <v>2918</v>
      </c>
      <c r="I17" s="14">
        <f>G17+H17-C17-E17</f>
        <v>0</v>
      </c>
      <c r="J17" s="14">
        <f>C17-G17</f>
        <v>-2562</v>
      </c>
      <c r="K17" s="14"/>
    </row>
    <row r="18" ht="20.05" customHeight="1">
      <c r="B18" s="31"/>
      <c r="C18" s="13">
        <v>370</v>
      </c>
      <c r="D18" s="14">
        <v>5949</v>
      </c>
      <c r="E18" s="14">
        <f>D18-C18</f>
        <v>5579</v>
      </c>
      <c r="F18" s="14">
        <v>4607</v>
      </c>
      <c r="G18" s="14">
        <v>2840</v>
      </c>
      <c r="H18" s="14">
        <v>3109</v>
      </c>
      <c r="I18" s="14">
        <f>G18+H18-C18-E18</f>
        <v>0</v>
      </c>
      <c r="J18" s="14">
        <f>C18-G18</f>
        <v>-2470</v>
      </c>
      <c r="K18" s="14"/>
    </row>
    <row r="19" ht="20.05" customHeight="1">
      <c r="B19" s="31"/>
      <c r="C19" s="13">
        <v>475</v>
      </c>
      <c r="D19" s="14">
        <v>6123</v>
      </c>
      <c r="E19" s="14">
        <f>D19-C19</f>
        <v>5648</v>
      </c>
      <c r="F19" s="14">
        <f>F18+'Sales'!E23</f>
        <v>4676.75</v>
      </c>
      <c r="G19" s="14">
        <v>2712</v>
      </c>
      <c r="H19" s="14">
        <f>D19-G19</f>
        <v>3411</v>
      </c>
      <c r="I19" s="14">
        <f>G19+H19-C19-E19</f>
        <v>0</v>
      </c>
      <c r="J19" s="14">
        <f>C19-G19</f>
        <v>-2237</v>
      </c>
      <c r="K19" s="14"/>
    </row>
    <row r="20" ht="20.05" customHeight="1">
      <c r="B20" s="32">
        <v>2022</v>
      </c>
      <c r="C20" s="13">
        <v>812</v>
      </c>
      <c r="D20" s="14">
        <v>6429</v>
      </c>
      <c r="E20" s="14">
        <f>D20-C20</f>
        <v>5617</v>
      </c>
      <c r="F20" s="14">
        <v>4763</v>
      </c>
      <c r="G20" s="14">
        <v>2763</v>
      </c>
      <c r="H20" s="14">
        <v>3666</v>
      </c>
      <c r="I20" s="14">
        <f>G20+H20-C20-E20</f>
        <v>0</v>
      </c>
      <c r="J20" s="14">
        <f>C20-G20</f>
        <v>-1951</v>
      </c>
      <c r="K20" s="14">
        <v>-1544.725273477370</v>
      </c>
    </row>
    <row r="21" ht="20.05" customHeight="1">
      <c r="B21" s="31"/>
      <c r="C21" s="13"/>
      <c r="D21" s="14"/>
      <c r="E21" s="14"/>
      <c r="F21" s="14"/>
      <c r="G21" s="14"/>
      <c r="H21" s="14"/>
      <c r="I21" s="14"/>
      <c r="J21" s="14"/>
      <c r="K21" s="14">
        <f>'Model'!F31</f>
        <v>-849.288901195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9.80469" style="37" customWidth="1"/>
    <col min="5" max="16384" width="16.3516" style="37" customWidth="1"/>
  </cols>
  <sheetData>
    <row r="1" ht="27.65" customHeight="1">
      <c r="A1" t="s" s="2">
        <v>50</v>
      </c>
      <c r="B1" s="2"/>
      <c r="C1" s="2"/>
      <c r="D1" s="2"/>
    </row>
    <row r="2" ht="20.25" customHeight="1">
      <c r="A2" s="34"/>
      <c r="B2" t="s" s="5">
        <v>51</v>
      </c>
      <c r="C2" t="s" s="5">
        <v>52</v>
      </c>
      <c r="D2" s="34"/>
    </row>
    <row r="3" ht="20.25" customHeight="1">
      <c r="A3" s="27">
        <v>2018</v>
      </c>
      <c r="B3" s="28">
        <v>675</v>
      </c>
      <c r="C3" s="35"/>
      <c r="D3" s="35"/>
    </row>
    <row r="4" ht="20.05" customHeight="1">
      <c r="A4" s="31"/>
      <c r="B4" s="13">
        <v>710</v>
      </c>
      <c r="C4" s="21"/>
      <c r="D4" s="21"/>
    </row>
    <row r="5" ht="20.05" customHeight="1">
      <c r="A5" s="31"/>
      <c r="B5" s="13">
        <v>875</v>
      </c>
      <c r="C5" s="21"/>
      <c r="D5" s="21"/>
    </row>
    <row r="6" ht="20.05" customHeight="1">
      <c r="A6" s="31"/>
      <c r="B6" s="13">
        <v>1205</v>
      </c>
      <c r="C6" s="21"/>
      <c r="D6" s="21"/>
    </row>
    <row r="7" ht="20.05" customHeight="1">
      <c r="A7" s="32">
        <v>2019</v>
      </c>
      <c r="B7" s="13">
        <v>1550</v>
      </c>
      <c r="C7" s="21"/>
      <c r="D7" s="21"/>
    </row>
    <row r="8" ht="20.05" customHeight="1">
      <c r="A8" s="31"/>
      <c r="B8" s="13">
        <v>1305</v>
      </c>
      <c r="C8" s="21"/>
      <c r="D8" s="21"/>
    </row>
    <row r="9" ht="20.05" customHeight="1">
      <c r="A9" s="31"/>
      <c r="B9" s="13">
        <v>1250</v>
      </c>
      <c r="C9" s="21"/>
      <c r="D9" s="21"/>
    </row>
    <row r="10" ht="20.05" customHeight="1">
      <c r="A10" s="31"/>
      <c r="B10" s="13">
        <v>700</v>
      </c>
      <c r="C10" s="21"/>
      <c r="D10" s="21"/>
    </row>
    <row r="11" ht="20.05" customHeight="1">
      <c r="A11" s="32">
        <v>2020</v>
      </c>
      <c r="B11" s="13">
        <v>560</v>
      </c>
      <c r="C11" s="21"/>
      <c r="D11" s="21"/>
    </row>
    <row r="12" ht="20.05" customHeight="1">
      <c r="A12" s="31"/>
      <c r="B12" s="13">
        <v>535</v>
      </c>
      <c r="C12" s="21"/>
      <c r="D12" s="21"/>
    </row>
    <row r="13" ht="20.05" customHeight="1">
      <c r="A13" s="31"/>
      <c r="B13" s="13">
        <v>396</v>
      </c>
      <c r="C13" s="21"/>
      <c r="D13" s="21"/>
    </row>
    <row r="14" ht="20.05" customHeight="1">
      <c r="A14" s="31"/>
      <c r="B14" s="13">
        <v>555</v>
      </c>
      <c r="C14" s="21"/>
      <c r="D14" s="21"/>
    </row>
    <row r="15" ht="20.05" customHeight="1">
      <c r="A15" s="32">
        <v>2021</v>
      </c>
      <c r="B15" s="13">
        <v>680</v>
      </c>
      <c r="C15" s="21"/>
      <c r="D15" s="21"/>
    </row>
    <row r="16" ht="20.05" customHeight="1">
      <c r="A16" s="31"/>
      <c r="B16" s="13">
        <v>975</v>
      </c>
      <c r="C16" s="21"/>
      <c r="D16" s="21"/>
    </row>
    <row r="17" ht="20.05" customHeight="1">
      <c r="A17" s="31"/>
      <c r="B17" s="13">
        <v>1430</v>
      </c>
      <c r="C17" s="21"/>
      <c r="D17" s="21"/>
    </row>
    <row r="18" ht="20.05" customHeight="1">
      <c r="A18" s="31"/>
      <c r="B18" s="13">
        <v>2210</v>
      </c>
      <c r="C18" s="21"/>
      <c r="D18" s="21"/>
    </row>
    <row r="19" ht="20.05" customHeight="1">
      <c r="A19" s="32">
        <v>2022</v>
      </c>
      <c r="B19" s="13">
        <v>2180</v>
      </c>
      <c r="C19" s="14">
        <v>2966.187343523630</v>
      </c>
      <c r="D19" s="21"/>
    </row>
    <row r="20" ht="20.05" customHeight="1">
      <c r="A20" s="31"/>
      <c r="B20" s="13">
        <v>2260</v>
      </c>
      <c r="C20" s="14">
        <v>5234.124663826390</v>
      </c>
      <c r="D20" s="21"/>
    </row>
    <row r="21" ht="20.05" customHeight="1">
      <c r="A21" s="31"/>
      <c r="B21" s="13"/>
      <c r="C21" s="14">
        <f>'Model'!F44</f>
        <v>8927.165954543751</v>
      </c>
      <c r="D21" s="21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V4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6875" style="38" customWidth="1"/>
    <col min="11" max="22" width="11.375" style="39" customWidth="1"/>
    <col min="23" max="16384" width="16.3516" style="39" customWidth="1"/>
  </cols>
  <sheetData>
    <row r="1" ht="27.65" customHeight="1">
      <c r="A1" t="s" s="2">
        <v>53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11</v>
      </c>
      <c r="C2" t="s" s="5">
        <v>14</v>
      </c>
      <c r="D2" t="s" s="5">
        <v>54</v>
      </c>
      <c r="E2" t="s" s="5">
        <v>11</v>
      </c>
      <c r="F2" t="s" s="5">
        <v>14</v>
      </c>
      <c r="G2" t="s" s="5">
        <v>54</v>
      </c>
      <c r="H2" s="4"/>
      <c r="I2" s="4"/>
      <c r="J2" s="4"/>
    </row>
    <row r="3" ht="20.25" customHeight="1">
      <c r="A3" s="27">
        <v>2009</v>
      </c>
      <c r="B3" s="28">
        <v>-325</v>
      </c>
      <c r="C3" s="29">
        <v>0</v>
      </c>
      <c r="D3" s="29">
        <f>B3+C3</f>
        <v>-325</v>
      </c>
      <c r="E3" s="29">
        <f>B3</f>
        <v>-325</v>
      </c>
      <c r="F3" s="29">
        <f>C3</f>
        <v>0</v>
      </c>
      <c r="G3" s="29">
        <f>D3</f>
        <v>-325</v>
      </c>
      <c r="H3" s="35"/>
      <c r="I3" s="35"/>
      <c r="J3" s="35"/>
    </row>
    <row r="4" ht="20.05" customHeight="1">
      <c r="A4" s="32">
        <v>2010</v>
      </c>
      <c r="B4" s="13">
        <v>-495</v>
      </c>
      <c r="C4" s="14">
        <v>0</v>
      </c>
      <c r="D4" s="14">
        <f>B4+C4</f>
        <v>-495</v>
      </c>
      <c r="E4" s="14">
        <f>B4+E3</f>
        <v>-820</v>
      </c>
      <c r="F4" s="14">
        <f>C4+F3</f>
        <v>0</v>
      </c>
      <c r="G4" s="14">
        <f>D4+G3</f>
        <v>-820</v>
      </c>
      <c r="H4" s="21"/>
      <c r="I4" s="21"/>
      <c r="J4" s="21"/>
    </row>
    <row r="5" ht="20.05" customHeight="1">
      <c r="A5" s="32">
        <f>1+$A4</f>
        <v>2011</v>
      </c>
      <c r="B5" s="13">
        <f>615-718</f>
        <v>-103</v>
      </c>
      <c r="C5" s="14">
        <v>0</v>
      </c>
      <c r="D5" s="14">
        <f>B5+C5</f>
        <v>-103</v>
      </c>
      <c r="E5" s="14">
        <f>B5+E4</f>
        <v>-923</v>
      </c>
      <c r="F5" s="14">
        <f>C5+F4</f>
        <v>0</v>
      </c>
      <c r="G5" s="14">
        <f>D5+G4</f>
        <v>-923</v>
      </c>
      <c r="H5" s="21"/>
      <c r="I5" s="21"/>
      <c r="J5" s="21"/>
    </row>
    <row r="6" ht="20.05" customHeight="1">
      <c r="A6" s="32">
        <f>1+$A5</f>
        <v>2012</v>
      </c>
      <c r="B6" s="13">
        <f>579-723</f>
        <v>-144</v>
      </c>
      <c r="C6" s="14">
        <v>0</v>
      </c>
      <c r="D6" s="14">
        <f>B6+C6</f>
        <v>-144</v>
      </c>
      <c r="E6" s="14">
        <f>B6+E5</f>
        <v>-1067</v>
      </c>
      <c r="F6" s="14">
        <f>C6+F5</f>
        <v>0</v>
      </c>
      <c r="G6" s="14">
        <f>D6+G5</f>
        <v>-1067</v>
      </c>
      <c r="H6" s="21"/>
      <c r="I6" s="21"/>
      <c r="J6" s="21"/>
    </row>
    <row r="7" ht="20.05" customHeight="1">
      <c r="A7" s="32">
        <f>1+$A6</f>
        <v>2013</v>
      </c>
      <c r="B7" s="13">
        <f>-197-C7</f>
        <v>-190.7</v>
      </c>
      <c r="C7" s="14">
        <v>-6.3</v>
      </c>
      <c r="D7" s="14">
        <f>B7+C7</f>
        <v>-197</v>
      </c>
      <c r="E7" s="14">
        <f>B7+E6</f>
        <v>-1257.7</v>
      </c>
      <c r="F7" s="14">
        <f>C7+F6</f>
        <v>-6.3</v>
      </c>
      <c r="G7" s="14">
        <f>D7+G6</f>
        <v>-1264</v>
      </c>
      <c r="H7" s="21"/>
      <c r="I7" s="21"/>
      <c r="J7" s="21"/>
    </row>
    <row r="8" ht="20.05" customHeight="1">
      <c r="A8" s="32">
        <f>1+$A7</f>
        <v>2014</v>
      </c>
      <c r="B8" s="13">
        <f>-275-C8</f>
        <v>-261</v>
      </c>
      <c r="C8" s="14">
        <v>-14</v>
      </c>
      <c r="D8" s="14">
        <f>B8+C8</f>
        <v>-275</v>
      </c>
      <c r="E8" s="14">
        <f>B8+E7</f>
        <v>-1518.7</v>
      </c>
      <c r="F8" s="14">
        <f>C8+F7</f>
        <v>-20.3</v>
      </c>
      <c r="G8" s="14">
        <f>D8+G7</f>
        <v>-1539</v>
      </c>
      <c r="H8" s="21"/>
      <c r="I8" s="21"/>
      <c r="J8" s="21"/>
    </row>
    <row r="9" ht="20.05" customHeight="1">
      <c r="A9" s="32">
        <f>1+$A8</f>
        <v>2015</v>
      </c>
      <c r="B9" s="13">
        <f>-210-C9</f>
        <v>-207</v>
      </c>
      <c r="C9" s="14">
        <v>-3</v>
      </c>
      <c r="D9" s="14">
        <f>B9+C9</f>
        <v>-210</v>
      </c>
      <c r="E9" s="14">
        <f>B9+E8</f>
        <v>-1725.7</v>
      </c>
      <c r="F9" s="14">
        <f>C9+F8</f>
        <v>-23.3</v>
      </c>
      <c r="G9" s="14">
        <f>D9+G8</f>
        <v>-1749</v>
      </c>
      <c r="H9" s="21"/>
      <c r="I9" s="21"/>
      <c r="J9" s="21"/>
    </row>
    <row r="10" ht="20.05" customHeight="1">
      <c r="A10" s="32">
        <f>1+$A9</f>
        <v>2016</v>
      </c>
      <c r="B10" s="13">
        <v>-52</v>
      </c>
      <c r="C10" s="14">
        <v>0</v>
      </c>
      <c r="D10" s="14">
        <f>B10+C10</f>
        <v>-52</v>
      </c>
      <c r="E10" s="14">
        <f>B10+E9</f>
        <v>-1777.7</v>
      </c>
      <c r="F10" s="14">
        <f>C10+F9</f>
        <v>-23.3</v>
      </c>
      <c r="G10" s="14">
        <f>D10+G9</f>
        <v>-1801</v>
      </c>
      <c r="H10" s="21"/>
      <c r="I10" s="21"/>
      <c r="J10" s="21"/>
    </row>
    <row r="11" ht="20.05" customHeight="1">
      <c r="A11" s="32">
        <f>1+$A10</f>
        <v>2017</v>
      </c>
      <c r="B11" s="13">
        <f>-486-38</f>
        <v>-524</v>
      </c>
      <c r="C11" s="14">
        <v>0</v>
      </c>
      <c r="D11" s="14">
        <f>B11+C11</f>
        <v>-524</v>
      </c>
      <c r="E11" s="14">
        <f>B11+E10</f>
        <v>-2301.7</v>
      </c>
      <c r="F11" s="14">
        <f>C11+F10</f>
        <v>-23.3</v>
      </c>
      <c r="G11" s="14">
        <f>D11+G10</f>
        <v>-2325</v>
      </c>
      <c r="H11" s="21"/>
      <c r="I11" s="21"/>
      <c r="J11" s="21"/>
    </row>
    <row r="12" ht="20.05" customHeight="1">
      <c r="A12" s="32">
        <f>1+$A11</f>
        <v>2018</v>
      </c>
      <c r="B12" s="13">
        <f>-55+3</f>
        <v>-52</v>
      </c>
      <c r="C12" s="14">
        <v>0</v>
      </c>
      <c r="D12" s="14">
        <f>B12+C12</f>
        <v>-52</v>
      </c>
      <c r="E12" s="14">
        <f>B12+E11</f>
        <v>-2353.7</v>
      </c>
      <c r="F12" s="14">
        <f>C12+F11</f>
        <v>-23.3</v>
      </c>
      <c r="G12" s="14">
        <f>D12+G11</f>
        <v>-2377</v>
      </c>
      <c r="H12" s="21"/>
      <c r="I12" s="21"/>
      <c r="J12" s="21"/>
    </row>
    <row r="13" ht="20.05" customHeight="1">
      <c r="A13" s="32">
        <f>1+$A12</f>
        <v>2019</v>
      </c>
      <c r="B13" s="13">
        <f>628+386-532-175</f>
        <v>307</v>
      </c>
      <c r="C13" s="14">
        <v>71</v>
      </c>
      <c r="D13" s="14">
        <f>B13+C13</f>
        <v>378</v>
      </c>
      <c r="E13" s="14">
        <f>B13+E12</f>
        <v>-2046.7</v>
      </c>
      <c r="F13" s="14">
        <f>C13+F12</f>
        <v>47.7</v>
      </c>
      <c r="G13" s="14">
        <f>D13+G12</f>
        <v>-1999</v>
      </c>
      <c r="H13" s="21"/>
      <c r="I13" s="21"/>
      <c r="J13" s="21"/>
    </row>
    <row r="14" ht="20.05" customHeight="1">
      <c r="A14" s="32">
        <f>1+$A13</f>
        <v>2020</v>
      </c>
      <c r="B14" s="13">
        <f>562+31-557-210</f>
        <v>-174</v>
      </c>
      <c r="C14" s="14">
        <v>-1</v>
      </c>
      <c r="D14" s="14">
        <f>B14+C14</f>
        <v>-175</v>
      </c>
      <c r="E14" s="14">
        <f>B14+E13</f>
        <v>-2220.7</v>
      </c>
      <c r="F14" s="14">
        <f>C14+F13</f>
        <v>46.7</v>
      </c>
      <c r="G14" s="14">
        <f>D14+G13</f>
        <v>-2174</v>
      </c>
      <c r="H14" s="21"/>
      <c r="I14" s="21"/>
      <c r="J14" s="21"/>
    </row>
    <row r="15" ht="20.05" customHeight="1">
      <c r="A15" s="32">
        <f>1+$A14</f>
        <v>2021</v>
      </c>
      <c r="B15" s="13">
        <f>SUM('Cashflow '!F20:F23)</f>
        <v>-259</v>
      </c>
      <c r="C15" s="14">
        <f>SUM('Cashflow '!G20:G23)</f>
        <v>1.3</v>
      </c>
      <c r="D15" s="14">
        <f>B15+C15</f>
        <v>-257.7</v>
      </c>
      <c r="E15" s="14">
        <f>B15+E14</f>
        <v>-2479.7</v>
      </c>
      <c r="F15" s="14">
        <f>C15+F14</f>
        <v>48</v>
      </c>
      <c r="G15" s="14">
        <f>D15+G14</f>
        <v>-2431.7</v>
      </c>
      <c r="H15" s="14">
        <f>AVERAGE(D3:D15)</f>
        <v>-187.053846153846</v>
      </c>
      <c r="I15" s="14">
        <f>AVERAGE(D11:D15)</f>
        <v>-126.14</v>
      </c>
      <c r="J15" s="20">
        <f>SUM('Cashflow '!F21:G24)</f>
        <v>-193.6</v>
      </c>
    </row>
    <row r="16" ht="20.05" customHeight="1">
      <c r="A16" s="32">
        <f>1+$A15</f>
        <v>2022</v>
      </c>
      <c r="B16" s="13">
        <f>'Cashflow '!F24</f>
        <v>-64.59999999999999</v>
      </c>
      <c r="C16" s="14">
        <f>'Cashflow '!G24</f>
        <v>0</v>
      </c>
      <c r="D16" s="14">
        <f>B16+C16</f>
        <v>-64.59999999999999</v>
      </c>
      <c r="E16" s="14">
        <f>B16+E15</f>
        <v>-2544.3</v>
      </c>
      <c r="F16" s="14">
        <f>C16+F15</f>
        <v>48</v>
      </c>
      <c r="G16" s="14">
        <f>D16+G15</f>
        <v>-2496.3</v>
      </c>
      <c r="H16" s="21"/>
      <c r="I16" s="21"/>
      <c r="J16" s="21"/>
    </row>
    <row r="18" ht="27.65" customHeight="1">
      <c r="K18" t="s" s="2">
        <v>55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20.25" customHeight="1"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20.25" customHeight="1">
      <c r="K20" s="40"/>
      <c r="L20" t="s" s="41">
        <v>56</v>
      </c>
      <c r="M20" s="42">
        <v>2989980144640</v>
      </c>
      <c r="N20" s="35"/>
      <c r="O20" s="35"/>
      <c r="P20" s="35"/>
      <c r="Q20" s="35"/>
      <c r="R20" s="35"/>
      <c r="S20" s="35"/>
      <c r="T20" s="35"/>
      <c r="U20" s="35"/>
      <c r="V20" s="35"/>
    </row>
    <row r="21" ht="32.05" customHeight="1">
      <c r="K21" s="31"/>
      <c r="L21" t="s" s="43">
        <v>51</v>
      </c>
      <c r="M21" t="s" s="44">
        <v>57</v>
      </c>
      <c r="N21" s="24">
        <f>T40</f>
        <v>-0.0587155515557683</v>
      </c>
      <c r="O21" t="s" s="44">
        <f>U40</f>
        <v>58</v>
      </c>
      <c r="P21" t="s" s="44">
        <f>V40</f>
        <v>59</v>
      </c>
      <c r="Q21" s="21"/>
      <c r="R21" s="21"/>
      <c r="S21" s="21"/>
      <c r="T21" s="21"/>
      <c r="U21" s="21"/>
      <c r="V21" s="21"/>
    </row>
    <row r="22" ht="20.05" customHeight="1">
      <c r="K22" s="31"/>
      <c r="L22" s="45">
        <v>44648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ht="20.05" customHeight="1">
      <c r="K23" s="31"/>
      <c r="L23" t="s" s="43">
        <v>60</v>
      </c>
      <c r="M23" s="20">
        <f>$A3</f>
        <v>2009</v>
      </c>
      <c r="N23" s="21"/>
      <c r="O23" s="21"/>
      <c r="P23" s="21"/>
      <c r="Q23" s="21"/>
      <c r="R23" s="21"/>
      <c r="S23" s="21"/>
      <c r="T23" s="21"/>
      <c r="U23" s="21"/>
      <c r="V23" s="21"/>
    </row>
    <row r="24" ht="32.05" customHeight="1">
      <c r="K24" s="31"/>
      <c r="L24" t="s" s="43">
        <v>61</v>
      </c>
      <c r="M24" s="20">
        <f>(2022-M23)*4</f>
        <v>52</v>
      </c>
      <c r="N24" s="21"/>
      <c r="O24" s="21"/>
      <c r="P24" s="21"/>
      <c r="Q24" s="21"/>
      <c r="R24" s="21"/>
      <c r="S24" s="21"/>
      <c r="T24" s="21"/>
      <c r="U24" s="21"/>
      <c r="V24" s="21"/>
    </row>
    <row r="25" ht="32.05" customHeight="1">
      <c r="K25" s="31"/>
      <c r="L25" t="s" s="43">
        <v>62</v>
      </c>
      <c r="M25" s="14">
        <f>(M20/1000000000)</f>
        <v>2989.98014464</v>
      </c>
      <c r="N25" s="21"/>
      <c r="O25" s="21"/>
      <c r="P25" s="21"/>
      <c r="Q25" s="21"/>
      <c r="R25" s="21"/>
      <c r="S25" s="21"/>
      <c r="T25" s="21"/>
      <c r="U25" s="21"/>
      <c r="V25" s="21"/>
    </row>
    <row r="26" ht="20.05" customHeight="1">
      <c r="K26" s="31"/>
      <c r="L26" t="s" s="43">
        <v>11</v>
      </c>
      <c r="M26" s="14">
        <f>R30</f>
        <v>-2479.7</v>
      </c>
      <c r="N26" t="s" s="44">
        <f>R27</f>
        <v>63</v>
      </c>
      <c r="O26" t="s" s="44">
        <f>IF(M26&gt;0,"raised","paid")</f>
        <v>64</v>
      </c>
      <c r="P26" s="21"/>
      <c r="Q26" s="21"/>
      <c r="R26" s="21"/>
      <c r="S26" s="21"/>
      <c r="T26" s="21"/>
      <c r="U26" s="21"/>
      <c r="V26" s="21"/>
    </row>
    <row r="27" ht="32.05" customHeight="1">
      <c r="K27" s="31"/>
      <c r="L27" t="s" s="43">
        <f>L21</f>
        <v>51</v>
      </c>
      <c r="M27" t="s" s="44">
        <v>65</v>
      </c>
      <c r="N27" t="s" s="44">
        <f>IF(Q27&gt;0,"raised","paid")</f>
        <v>64</v>
      </c>
      <c r="O27" t="s" s="44">
        <v>66</v>
      </c>
      <c r="P27" t="s" s="44">
        <v>67</v>
      </c>
      <c r="Q27" s="14">
        <f>AVERAGE(B3:B15)</f>
        <v>-190.746153846154</v>
      </c>
      <c r="R27" t="s" s="44">
        <v>63</v>
      </c>
      <c r="S27" t="s" s="44">
        <v>68</v>
      </c>
      <c r="T27" s="24">
        <f>Q27/M25</f>
        <v>-0.0637951239201691</v>
      </c>
      <c r="U27" t="s" s="44">
        <v>58</v>
      </c>
      <c r="V27" s="21"/>
    </row>
    <row r="28" ht="32.05" customHeight="1">
      <c r="K28" s="31"/>
      <c r="L28" t="s" s="43">
        <v>69</v>
      </c>
      <c r="M28" t="s" s="44">
        <f>O27</f>
        <v>66</v>
      </c>
      <c r="N28" t="s" s="44">
        <v>70</v>
      </c>
      <c r="O28" t="s" s="44">
        <f>IF(Q28&gt;0,"raised","paid")</f>
        <v>64</v>
      </c>
      <c r="P28" t="s" s="44">
        <v>67</v>
      </c>
      <c r="Q28" s="14">
        <f>AVERAGE(B11:B15)</f>
        <v>-140.4</v>
      </c>
      <c r="R28" t="s" s="44">
        <f>R27</f>
        <v>63</v>
      </c>
      <c r="S28" t="s" s="44">
        <v>68</v>
      </c>
      <c r="T28" s="24">
        <f>Q28/M25</f>
        <v>-0.0469568335601454</v>
      </c>
      <c r="U28" t="s" s="44">
        <v>58</v>
      </c>
      <c r="V28" s="21"/>
    </row>
    <row r="29" ht="44.05" customHeight="1">
      <c r="K29" s="31"/>
      <c r="L29" t="s" s="43">
        <v>71</v>
      </c>
      <c r="M29" t="s" s="44">
        <v>72</v>
      </c>
      <c r="N29" s="14">
        <f>MAX(E3:E15)</f>
        <v>-325</v>
      </c>
      <c r="O29" t="s" s="44">
        <f>R28</f>
        <v>63</v>
      </c>
      <c r="P29" t="s" s="44">
        <v>73</v>
      </c>
      <c r="Q29" s="20">
        <f>$A3</f>
        <v>2009</v>
      </c>
      <c r="R29" s="21"/>
      <c r="S29" s="21"/>
      <c r="T29" s="21"/>
      <c r="U29" s="21"/>
      <c r="V29" s="21"/>
    </row>
    <row r="30" ht="32.05" customHeight="1">
      <c r="K30" s="31"/>
      <c r="L30" t="s" s="43">
        <v>74</v>
      </c>
      <c r="M30" t="s" s="44">
        <f>M28</f>
        <v>66</v>
      </c>
      <c r="N30" t="s" s="44">
        <v>75</v>
      </c>
      <c r="O30" t="s" s="44">
        <v>76</v>
      </c>
      <c r="P30" t="s" s="44">
        <f>IF(R30&lt;N29,"down","up")</f>
        <v>77</v>
      </c>
      <c r="Q30" t="s" s="44">
        <v>78</v>
      </c>
      <c r="R30" s="14">
        <f>E15</f>
        <v>-2479.7</v>
      </c>
      <c r="S30" t="s" s="44">
        <f>R28</f>
        <v>63</v>
      </c>
      <c r="T30" s="21"/>
      <c r="U30" s="21"/>
      <c r="V30" s="21"/>
    </row>
    <row r="31" ht="20.05" customHeight="1">
      <c r="K31" s="31"/>
      <c r="L31" t="s" s="43">
        <v>14</v>
      </c>
      <c r="M31" s="14">
        <f>R35</f>
        <v>48</v>
      </c>
      <c r="N31" t="s" s="44">
        <f>S30</f>
        <v>63</v>
      </c>
      <c r="O31" t="s" s="44">
        <f>IF(M31&gt;0,"raised","paid")</f>
        <v>79</v>
      </c>
      <c r="P31" s="21"/>
      <c r="Q31" s="21"/>
      <c r="R31" s="21"/>
      <c r="S31" s="21"/>
      <c r="T31" s="21"/>
      <c r="U31" s="21"/>
      <c r="V31" s="21"/>
    </row>
    <row r="32" ht="32.05" customHeight="1">
      <c r="K32" s="31"/>
      <c r="L32" t="s" s="43">
        <f>L27</f>
        <v>51</v>
      </c>
      <c r="M32" t="s" s="44">
        <v>65</v>
      </c>
      <c r="N32" t="s" s="44">
        <f>IF(Q32&gt;0,"raised","paid")</f>
        <v>79</v>
      </c>
      <c r="O32" t="s" s="44">
        <v>80</v>
      </c>
      <c r="P32" t="s" s="44">
        <f>P27</f>
        <v>67</v>
      </c>
      <c r="Q32" s="14">
        <f>AVERAGE(C3:C15)</f>
        <v>3.69230769230769</v>
      </c>
      <c r="R32" t="s" s="44">
        <f>R27</f>
        <v>63</v>
      </c>
      <c r="S32" t="s" s="44">
        <f>S27</f>
        <v>68</v>
      </c>
      <c r="T32" s="24">
        <f>Q32/M25</f>
        <v>0.00123489371624314</v>
      </c>
      <c r="U32" t="s" s="44">
        <f>U27</f>
        <v>58</v>
      </c>
      <c r="V32" s="21"/>
    </row>
    <row r="33" ht="32.05" customHeight="1">
      <c r="K33" s="31"/>
      <c r="L33" t="s" s="43">
        <v>69</v>
      </c>
      <c r="M33" t="s" s="44">
        <f>O32</f>
        <v>80</v>
      </c>
      <c r="N33" t="s" s="44">
        <v>81</v>
      </c>
      <c r="O33" t="s" s="44">
        <f>IF(Q33&gt;0,"raised","paid")</f>
        <v>79</v>
      </c>
      <c r="P33" t="s" s="44">
        <v>67</v>
      </c>
      <c r="Q33" s="14">
        <f>AVERAGE(C11:C15)</f>
        <v>14.26</v>
      </c>
      <c r="R33" t="s" s="44">
        <f>R32</f>
        <v>63</v>
      </c>
      <c r="S33" t="s" s="44">
        <v>68</v>
      </c>
      <c r="T33" s="24">
        <f>Q33/M25</f>
        <v>0.0047692624399407</v>
      </c>
      <c r="U33" t="s" s="44">
        <f>U28</f>
        <v>58</v>
      </c>
      <c r="V33" s="21"/>
    </row>
    <row r="34" ht="44.05" customHeight="1">
      <c r="K34" s="31"/>
      <c r="L34" t="s" s="43">
        <v>82</v>
      </c>
      <c r="M34" t="s" s="44">
        <v>72</v>
      </c>
      <c r="N34" s="14">
        <f>MAX(F3:F15)</f>
        <v>48</v>
      </c>
      <c r="O34" t="s" s="44">
        <f>R33</f>
        <v>63</v>
      </c>
      <c r="P34" t="s" s="44">
        <v>73</v>
      </c>
      <c r="Q34" s="20">
        <v>2021</v>
      </c>
      <c r="R34" s="21"/>
      <c r="S34" s="21"/>
      <c r="T34" s="21"/>
      <c r="U34" s="21"/>
      <c r="V34" s="21"/>
    </row>
    <row r="35" ht="32.05" customHeight="1">
      <c r="K35" s="31"/>
      <c r="L35" t="s" s="43">
        <v>74</v>
      </c>
      <c r="M35" t="s" s="44">
        <f>M33</f>
        <v>80</v>
      </c>
      <c r="N35" t="s" s="44">
        <v>75</v>
      </c>
      <c r="O35" t="s" s="44">
        <v>83</v>
      </c>
      <c r="P35" t="s" s="44">
        <f>IF(R35&lt;N34,"down","up")</f>
        <v>84</v>
      </c>
      <c r="Q35" t="s" s="44">
        <v>78</v>
      </c>
      <c r="R35" s="14">
        <f>F15</f>
        <v>48</v>
      </c>
      <c r="S35" t="s" s="44">
        <f>R33</f>
        <v>63</v>
      </c>
      <c r="T35" s="21"/>
      <c r="U35" s="21"/>
      <c r="V35" s="21"/>
    </row>
    <row r="36" ht="20.05" customHeight="1">
      <c r="K36" s="31"/>
      <c r="L36" t="s" s="43">
        <v>85</v>
      </c>
      <c r="M36" s="14">
        <f>R40</f>
        <v>-2431.7</v>
      </c>
      <c r="N36" t="s" s="44">
        <f>S35</f>
        <v>63</v>
      </c>
      <c r="O36" t="s" s="44">
        <f>IF(M36&gt;0,"raised","paid")</f>
        <v>64</v>
      </c>
      <c r="P36" s="21"/>
      <c r="Q36" s="21"/>
      <c r="R36" s="21"/>
      <c r="S36" s="21"/>
      <c r="T36" s="21"/>
      <c r="U36" s="21"/>
      <c r="V36" s="21"/>
    </row>
    <row r="37" ht="32.05" customHeight="1">
      <c r="K37" s="31"/>
      <c r="L37" t="s" s="43">
        <f>L32</f>
        <v>51</v>
      </c>
      <c r="M37" t="s" s="44">
        <v>65</v>
      </c>
      <c r="N37" t="s" s="44">
        <f>IF(Q37&gt;0,"raised","paid")</f>
        <v>64</v>
      </c>
      <c r="O37" t="s" s="44">
        <v>86</v>
      </c>
      <c r="P37" t="s" s="44">
        <f>P32</f>
        <v>67</v>
      </c>
      <c r="Q37" s="14">
        <f>AVERAGE(D3:D15)</f>
        <v>-187.053846153846</v>
      </c>
      <c r="R37" t="s" s="44">
        <f>R32</f>
        <v>63</v>
      </c>
      <c r="S37" t="s" s="44">
        <f>S32</f>
        <v>68</v>
      </c>
      <c r="T37" s="24">
        <f>Q37/M25</f>
        <v>-0.0625602302039259</v>
      </c>
      <c r="U37" t="s" s="44">
        <f>U32</f>
        <v>58</v>
      </c>
      <c r="V37" s="21"/>
    </row>
    <row r="38" ht="32.05" customHeight="1">
      <c r="K38" s="31"/>
      <c r="L38" t="s" s="43">
        <v>69</v>
      </c>
      <c r="M38" t="s" s="44">
        <f>O37</f>
        <v>86</v>
      </c>
      <c r="N38" t="s" s="44">
        <v>81</v>
      </c>
      <c r="O38" t="s" s="44">
        <f>IF(Q38&gt;0,"raised","paid")</f>
        <v>64</v>
      </c>
      <c r="P38" t="s" s="44">
        <v>67</v>
      </c>
      <c r="Q38" s="14">
        <f>AVERAGE(D11:D15)</f>
        <v>-126.14</v>
      </c>
      <c r="R38" t="s" s="44">
        <f>R37</f>
        <v>63</v>
      </c>
      <c r="S38" t="s" s="44">
        <v>68</v>
      </c>
      <c r="T38" s="24">
        <f>Q38/M25</f>
        <v>-0.0421875711202047</v>
      </c>
      <c r="U38" t="s" s="44">
        <f>U33</f>
        <v>58</v>
      </c>
      <c r="V38" s="21"/>
    </row>
    <row r="39" ht="44.05" customHeight="1">
      <c r="K39" s="31"/>
      <c r="L39" t="s" s="43">
        <v>87</v>
      </c>
      <c r="M39" t="s" s="44">
        <v>72</v>
      </c>
      <c r="N39" s="14">
        <f>MAX(G3:G15)</f>
        <v>-325</v>
      </c>
      <c r="O39" t="s" s="44">
        <f>R38</f>
        <v>63</v>
      </c>
      <c r="P39" t="s" s="44">
        <v>73</v>
      </c>
      <c r="Q39" s="20">
        <f>$A3</f>
        <v>2009</v>
      </c>
      <c r="R39" s="21"/>
      <c r="S39" s="21"/>
      <c r="T39" s="21"/>
      <c r="U39" s="21"/>
      <c r="V39" s="21"/>
    </row>
    <row r="40" ht="32.05" customHeight="1">
      <c r="K40" s="31"/>
      <c r="L40" t="s" s="43">
        <v>74</v>
      </c>
      <c r="M40" t="s" s="44">
        <f>M38</f>
        <v>86</v>
      </c>
      <c r="N40" t="s" s="44">
        <v>75</v>
      </c>
      <c r="O40" t="s" s="44">
        <v>83</v>
      </c>
      <c r="P40" t="s" s="44">
        <f>IF(R40&lt;N39,"down","up")</f>
        <v>77</v>
      </c>
      <c r="Q40" t="s" s="44">
        <v>78</v>
      </c>
      <c r="R40" s="20">
        <f>G15</f>
        <v>-2431.7</v>
      </c>
      <c r="S40" t="s" s="44">
        <f>R38</f>
        <v>63</v>
      </c>
      <c r="T40" s="24">
        <f>AVERAGE(D4:D15)/M25</f>
        <v>-0.0587155515557683</v>
      </c>
      <c r="U40" t="s" s="44">
        <f>U38</f>
        <v>58</v>
      </c>
      <c r="V40" t="s" s="44">
        <v>59</v>
      </c>
    </row>
  </sheetData>
  <mergeCells count="2">
    <mergeCell ref="A1:J1"/>
    <mergeCell ref="K18:V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