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 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<sst xmlns="http://schemas.openxmlformats.org/spreadsheetml/2006/main" uniqueCount="68">
  <si>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</si>
  <si>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</si>
  <si>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</si>
  <si>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</si>
  <si>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</si>
  <si>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</si>
  <si>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</si>
  <si>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</si>
  <si>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</si>
  <si>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</si>
  <si>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</si>
  <si>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</si>
  <si>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</si>
  <si>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</si>
  <si>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</si>
  <si>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</si>
  <si>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</si>
  <si>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</si>
  <si>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</si>
  <si>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</si>
  <si>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</si>
  <si>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</si>
  <si>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</si>
  <si>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</si>
  <si>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</si>
  <si>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</si>
  <si>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</si>
  <si>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</si>
  <si>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</si>
  <si>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</si>
  <si>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</si>
  <si>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</si>
  <si>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>Cashfkow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</si>
  <si>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</si>
  <si>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</si>
  <si>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</si>
  <si>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</si>
  <si>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</si>
  <si>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</si>
  <si>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</si>
  <si>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</si>
  <si>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Forecast</t>
  </si>
  <si>
    <t xml:space="preserve">Net income </t>
  </si>
  <si>
    <t>Sales to assets ratio</t>
  </si>
  <si>
    <t xml:space="preserve">Sales growth </t>
  </si>
  <si>
    <t>Costs</t>
  </si>
  <si>
    <t>Receipts</t>
  </si>
  <si>
    <t>Operating before working capital</t>
  </si>
  <si>
    <t>Capex</t>
  </si>
  <si>
    <t xml:space="preserve">Operating </t>
  </si>
  <si>
    <t xml:space="preserve">Investing </t>
  </si>
  <si>
    <t>Fee &amp; lease</t>
  </si>
  <si>
    <t xml:space="preserve">Beginning </t>
  </si>
  <si>
    <t>FX</t>
  </si>
  <si>
    <t xml:space="preserve">Free cashflow </t>
  </si>
  <si>
    <t>Capital</t>
  </si>
  <si>
    <t xml:space="preserve">  Cash</t>
  </si>
  <si>
    <t xml:space="preserve">Assets </t>
  </si>
  <si>
    <t>Other asset</t>
  </si>
  <si>
    <t>Depreciation</t>
  </si>
  <si>
    <t>Check</t>
  </si>
  <si>
    <t xml:space="preserve">Other assets growth </t>
  </si>
  <si>
    <t>Liabilities growth</t>
  </si>
  <si>
    <t>Share price</t>
  </si>
  <si>
    <t>MEGA</t>
  </si>
  <si>
    <t xml:space="preserve">Previous target </t>
  </si>
  <si>
    <t xml:space="preserve">Total </t>
  </si>
  <si>
    <t>Total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</si>
</sst>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%_);[Red]\(0%\)"/>
    <numFmt numFmtId="60" formatCode="#,##0%"/>
    <numFmt numFmtId="61" formatCode="#,##0.0%_);[Red]\(#,##0.0%\)"/>
    <numFmt numFmtId="62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658323"/>
          <c:y val="0.0426778"/>
          <c:w val="0.92508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'!$E$11:$E$26</c:f>
              <c:numCache>
                <c:ptCount val="16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'!$F$11:$F$26</c:f>
              <c:numCache>
                <c:ptCount val="16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'!$G$11:$G$26</c:f>
              <c:numCache>
                <c:ptCount val="16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753633"/>
          <c:y val="0.0580838"/>
          <c:w val="0.345699"/>
          <c:h val="0.1530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708796</xdr:colOff>
      <xdr:row>1</xdr:row>
      <xdr:rowOff>37187</xdr:rowOff>
    </xdr:from>
    <xdr:to>
      <xdr:col>12</xdr:col>
      <xdr:colOff>732701</xdr:colOff>
      <xdr:row>42</xdr:row>
      <xdr:rowOff>192143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12496" y="388342"/>
          <a:ext cx="7491506" cy="106216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768493</xdr:colOff>
      <xdr:row>38</xdr:row>
      <xdr:rowOff>79913</xdr:rowOff>
    </xdr:from>
    <xdr:to>
      <xdr:col>4</xdr:col>
      <xdr:colOff>617111</xdr:colOff>
      <xdr:row>52</xdr:row>
      <xdr:rowOff>29316</xdr:rowOff>
    </xdr:to>
    <xdr:graphicFrame>
      <xdr:nvGraphicFramePr>
        <xdr:cNvPr id="4" name="2D Line Chart"/>
        <xdr:cNvGraphicFramePr/>
      </xdr:nvGraphicFramePr>
      <xdr:xfrm>
        <a:off x="768493" y="9834783"/>
        <a:ext cx="3353818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01562" style="1" customWidth="1"/>
    <col min="2" max="2" width="14.7656" style="1" customWidth="1"/>
    <col min="3" max="6" width="9.41406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05" customHeight="1">
      <c r="B2" t="s" s="3">
        <v>1</v>
      </c>
      <c r="C2" s="4"/>
      <c r="D2" s="4"/>
      <c r="E2" s="4"/>
      <c r="F2" t="s" s="5">
        <v>2</v>
      </c>
    </row>
    <row r="3" ht="20.3" customHeight="1">
      <c r="B3" t="s" s="6">
        <v>3</v>
      </c>
      <c r="C3" s="7">
        <f>AVERAGE('Sales'!I12:I15)</f>
        <v>0.0244009657900276</v>
      </c>
      <c r="D3" s="8"/>
      <c r="E3" s="8"/>
      <c r="F3" s="8">
        <f>AVERAGE(C4:F4)</f>
        <v>0.0175</v>
      </c>
    </row>
    <row r="4" ht="20.1" customHeight="1">
      <c r="B4" t="s" s="9">
        <v>4</v>
      </c>
      <c r="C4" s="10">
        <v>-0.01</v>
      </c>
      <c r="D4" s="11">
        <v>0.01</v>
      </c>
      <c r="E4" s="11">
        <v>0.02</v>
      </c>
      <c r="F4" s="11">
        <v>0.05</v>
      </c>
    </row>
    <row r="5" ht="20.1" customHeight="1">
      <c r="B5" t="s" s="9">
        <v>5</v>
      </c>
      <c r="C5" s="12">
        <f>'Sales'!C15*(1+C4)</f>
        <v>2783.88</v>
      </c>
      <c r="D5" s="13">
        <f>C5*(1+D4)</f>
        <v>2811.7188</v>
      </c>
      <c r="E5" s="13">
        <f>D5*(1+E4)</f>
        <v>2867.953176</v>
      </c>
      <c r="F5" s="13">
        <f>E5*(1+F4)</f>
        <v>3011.3508348</v>
      </c>
    </row>
    <row r="6" ht="20.1" customHeight="1">
      <c r="B6" t="s" s="9">
        <v>6</v>
      </c>
      <c r="C6" s="14">
        <f>AVERAGE('Sales'!J12:J15)</f>
        <v>-0.577473642777577</v>
      </c>
      <c r="D6" s="15">
        <f>C6</f>
        <v>-0.577473642777577</v>
      </c>
      <c r="E6" s="15">
        <f>D6</f>
        <v>-0.577473642777577</v>
      </c>
      <c r="F6" s="15">
        <f>E6</f>
        <v>-0.577473642777577</v>
      </c>
    </row>
    <row r="7" ht="20.1" customHeight="1">
      <c r="B7" t="s" s="9">
        <v>7</v>
      </c>
      <c r="C7" s="16">
        <f>C6*C5</f>
        <v>-1607.617324655640</v>
      </c>
      <c r="D7" s="17">
        <f>D6*D5</f>
        <v>-1623.6934979022</v>
      </c>
      <c r="E7" s="17">
        <f>E6*E5</f>
        <v>-1656.167367860240</v>
      </c>
      <c r="F7" s="17">
        <f>F6*F5</f>
        <v>-1738.975736253250</v>
      </c>
    </row>
    <row r="8" ht="20.1" customHeight="1">
      <c r="B8" t="s" s="9">
        <v>8</v>
      </c>
      <c r="C8" s="16">
        <f>C5+C7</f>
        <v>1176.262675344360</v>
      </c>
      <c r="D8" s="17">
        <f>D5+D7</f>
        <v>1188.0253020978</v>
      </c>
      <c r="E8" s="17">
        <f>E5+E7</f>
        <v>1211.785808139760</v>
      </c>
      <c r="F8" s="17">
        <f>F5+F7</f>
        <v>1272.375098546750</v>
      </c>
    </row>
    <row r="9" ht="20.05" customHeight="1">
      <c r="B9" t="s" s="9">
        <v>9</v>
      </c>
      <c r="C9" s="16">
        <f>AVERAGE(' Cashflow'!F14)</f>
        <v>-25</v>
      </c>
      <c r="D9" s="17">
        <f>C9</f>
        <v>-25</v>
      </c>
      <c r="E9" s="17">
        <f>D9</f>
        <v>-25</v>
      </c>
      <c r="F9" s="17">
        <f>E9</f>
        <v>-25</v>
      </c>
    </row>
    <row r="10" ht="20.1" customHeight="1">
      <c r="B10" t="s" s="9">
        <v>10</v>
      </c>
      <c r="C10" s="16">
        <f>C11+C13</f>
        <v>-325.053802603308</v>
      </c>
      <c r="D10" s="17">
        <f>D11+D13</f>
        <v>-328.582590629340</v>
      </c>
      <c r="E10" s="17">
        <f>E11+E13</f>
        <v>-335.710742441928</v>
      </c>
      <c r="F10" s="17">
        <f>F11+F13</f>
        <v>-353.887529564025</v>
      </c>
    </row>
    <row r="11" ht="20.1" customHeight="1">
      <c r="B11" t="s" s="9">
        <v>11</v>
      </c>
      <c r="C11" s="16">
        <f>IF(C20&gt;0,-C20*0.3,0)</f>
        <v>-325.053802603308</v>
      </c>
      <c r="D11" s="17">
        <f>IF(D20&gt;0,-D20*0.3,0)</f>
        <v>-328.582590629340</v>
      </c>
      <c r="E11" s="17">
        <f>IF(E20&gt;0,-E20*0.3,0)</f>
        <v>-335.710742441928</v>
      </c>
      <c r="F11" s="17">
        <f>IF(F20&gt;0,-F20*0.3,0)</f>
        <v>-353.887529564025</v>
      </c>
    </row>
    <row r="12" ht="20.05" customHeight="1">
      <c r="B12" t="s" s="9">
        <v>12</v>
      </c>
      <c r="C12" s="16">
        <f>C8+C9+C11</f>
        <v>826.208872741052</v>
      </c>
      <c r="D12" s="17">
        <f>D8+D9+D11</f>
        <v>834.4427114684599</v>
      </c>
      <c r="E12" s="17">
        <f>E8+E9+E11</f>
        <v>851.075065697832</v>
      </c>
      <c r="F12" s="17">
        <f>F8+F9+F11</f>
        <v>893.487568982725</v>
      </c>
    </row>
    <row r="13" ht="20.1" customHeight="1">
      <c r="B13" t="s" s="9">
        <v>13</v>
      </c>
      <c r="C13" s="16">
        <f>-MIN(0,C12)</f>
        <v>0</v>
      </c>
      <c r="D13" s="17">
        <f>-MIN(C26,D12)</f>
        <v>0</v>
      </c>
      <c r="E13" s="17">
        <f>-MIN(D26,E12)</f>
        <v>0</v>
      </c>
      <c r="F13" s="17">
        <f>-MIN(E26,F12)</f>
        <v>0</v>
      </c>
    </row>
    <row r="14" ht="20.1" customHeight="1">
      <c r="B14" t="s" s="9">
        <v>14</v>
      </c>
      <c r="C14" s="16">
        <f>'Balance Sheet '!C15</f>
        <v>17312</v>
      </c>
      <c r="D14" s="17">
        <f>C16</f>
        <v>18138.2088727411</v>
      </c>
      <c r="E14" s="17">
        <f>D16</f>
        <v>18972.6515842096</v>
      </c>
      <c r="F14" s="17">
        <f>E16</f>
        <v>19823.7266499074</v>
      </c>
    </row>
    <row r="15" ht="20.1" customHeight="1">
      <c r="B15" t="s" s="9">
        <v>15</v>
      </c>
      <c r="C15" s="16">
        <f>C8+C9+C10</f>
        <v>826.208872741052</v>
      </c>
      <c r="D15" s="17">
        <f>D8+D9+D10</f>
        <v>834.4427114684599</v>
      </c>
      <c r="E15" s="17">
        <f>E8+E9+E10</f>
        <v>851.075065697832</v>
      </c>
      <c r="F15" s="17">
        <f>F8+F9+F10</f>
        <v>893.487568982725</v>
      </c>
    </row>
    <row r="16" ht="20.1" customHeight="1">
      <c r="B16" t="s" s="9">
        <v>16</v>
      </c>
      <c r="C16" s="16">
        <f>C14+C15</f>
        <v>18138.2088727411</v>
      </c>
      <c r="D16" s="17">
        <f>D14+D15</f>
        <v>18972.6515842096</v>
      </c>
      <c r="E16" s="17">
        <f>E14+E15</f>
        <v>19823.7266499074</v>
      </c>
      <c r="F16" s="17">
        <f>F14+F15</f>
        <v>20717.2142188901</v>
      </c>
    </row>
    <row r="17" ht="20.1" customHeight="1">
      <c r="B17" t="s" s="18">
        <v>17</v>
      </c>
      <c r="C17" s="19"/>
      <c r="D17" s="20"/>
      <c r="E17" s="20"/>
      <c r="F17" s="20"/>
    </row>
    <row r="18" ht="20.1" customHeight="1">
      <c r="B18" t="s" s="9">
        <v>18</v>
      </c>
      <c r="C18" s="16">
        <f>-AVERAGE('Sales'!F15)</f>
        <v>-66.75</v>
      </c>
      <c r="D18" s="17">
        <f>C18</f>
        <v>-66.75</v>
      </c>
      <c r="E18" s="17">
        <f>D18</f>
        <v>-66.75</v>
      </c>
      <c r="F18" s="17">
        <f>E18</f>
        <v>-66.75</v>
      </c>
    </row>
    <row r="19" ht="20.1" customHeight="1">
      <c r="B19" t="s" s="9">
        <v>19</v>
      </c>
      <c r="C19" s="16">
        <f>-AVERAGE('Sales'!E12:E15)</f>
        <v>-26</v>
      </c>
      <c r="D19" s="17">
        <f>C19</f>
        <v>-26</v>
      </c>
      <c r="E19" s="17">
        <f>D19</f>
        <v>-26</v>
      </c>
      <c r="F19" s="17">
        <f>E19</f>
        <v>-26</v>
      </c>
    </row>
    <row r="20" ht="20.1" customHeight="1">
      <c r="B20" t="s" s="9">
        <v>20</v>
      </c>
      <c r="C20" s="16">
        <f>C5+C7+C18+C19</f>
        <v>1083.512675344360</v>
      </c>
      <c r="D20" s="17">
        <f>D5+D7+D18+D19</f>
        <v>1095.2753020978</v>
      </c>
      <c r="E20" s="17">
        <f>E5+E7+E18+E19</f>
        <v>1119.035808139760</v>
      </c>
      <c r="F20" s="17">
        <f>F5+F7+F18+F19</f>
        <v>1179.625098546750</v>
      </c>
    </row>
    <row r="21" ht="20.1" customHeight="1">
      <c r="B21" t="s" s="18">
        <v>21</v>
      </c>
      <c r="C21" s="19"/>
      <c r="D21" s="20"/>
      <c r="E21" s="20"/>
      <c r="F21" s="20"/>
    </row>
    <row r="22" ht="20.1" customHeight="1">
      <c r="B22" t="s" s="9">
        <v>22</v>
      </c>
      <c r="C22" s="16">
        <f>'Balance Sheet '!E15+'Balance Sheet '!F15-C9</f>
        <v>117530</v>
      </c>
      <c r="D22" s="17">
        <f>C22-D9</f>
        <v>117555</v>
      </c>
      <c r="E22" s="17">
        <f>D22-E9</f>
        <v>117580</v>
      </c>
      <c r="F22" s="17">
        <f>E22-F9</f>
        <v>117605</v>
      </c>
    </row>
    <row r="23" ht="20.1" customHeight="1">
      <c r="B23" t="s" s="9">
        <v>18</v>
      </c>
      <c r="C23" s="16">
        <f>'Balance Sheet '!F15-C18-C19</f>
        <v>2030.75</v>
      </c>
      <c r="D23" s="17">
        <f>C23-D18-D19</f>
        <v>2123.5</v>
      </c>
      <c r="E23" s="17">
        <f>D23-E18-E19</f>
        <v>2216.25</v>
      </c>
      <c r="F23" s="17">
        <f>E23-F18-F19</f>
        <v>2309</v>
      </c>
    </row>
    <row r="24" ht="20.1" customHeight="1">
      <c r="B24" t="s" s="9">
        <v>23</v>
      </c>
      <c r="C24" s="16">
        <f>C22-C23</f>
        <v>115499.25</v>
      </c>
      <c r="D24" s="17">
        <f>D22-D23</f>
        <v>115431.5</v>
      </c>
      <c r="E24" s="17">
        <f>E22-E23</f>
        <v>115363.75</v>
      </c>
      <c r="F24" s="17">
        <f>F22-F23</f>
        <v>115296</v>
      </c>
    </row>
    <row r="25" ht="20.1" customHeight="1">
      <c r="B25" t="s" s="9">
        <v>24</v>
      </c>
      <c r="C25" s="16">
        <f>'Balance Sheet '!G15</f>
        <v>113735</v>
      </c>
      <c r="D25" s="17">
        <f>C25</f>
        <v>113735</v>
      </c>
      <c r="E25" s="17">
        <f>D25</f>
        <v>113735</v>
      </c>
      <c r="F25" s="17">
        <f>E25</f>
        <v>113735</v>
      </c>
    </row>
    <row r="26" ht="20.1" customHeight="1">
      <c r="B26" t="s" s="9">
        <v>13</v>
      </c>
      <c r="C26" s="16">
        <f>C13</f>
        <v>0</v>
      </c>
      <c r="D26" s="17">
        <f>C26+D13</f>
        <v>0</v>
      </c>
      <c r="E26" s="17">
        <f>D26+E13</f>
        <v>0</v>
      </c>
      <c r="F26" s="17">
        <f>E26+F13</f>
        <v>0</v>
      </c>
    </row>
    <row r="27" ht="20.1" customHeight="1">
      <c r="B27" t="s" s="9">
        <v>25</v>
      </c>
      <c r="C27" s="16">
        <f>'Balance Sheet '!H15+C20+C11</f>
        <v>19902.4588727411</v>
      </c>
      <c r="D27" s="17">
        <f>C27+D20+D11</f>
        <v>20669.1515842096</v>
      </c>
      <c r="E27" s="17">
        <f>D27+E20+E11</f>
        <v>21452.4766499074</v>
      </c>
      <c r="F27" s="17">
        <f>E27+F20+F11</f>
        <v>22278.2142188901</v>
      </c>
    </row>
    <row r="28" ht="20.1" customHeight="1">
      <c r="B28" t="s" s="9">
        <v>26</v>
      </c>
      <c r="C28" s="16">
        <f>C25+C26+C27-C16-C24</f>
        <v>0</v>
      </c>
      <c r="D28" s="17">
        <f>D25+D26+D27-D16-D24</f>
        <v>0</v>
      </c>
      <c r="E28" s="17">
        <f>E25+E26+E27-E16-E24</f>
        <v>0</v>
      </c>
      <c r="F28" s="17">
        <f>F25+F26+F27-F16-F24</f>
        <v>0</v>
      </c>
    </row>
    <row r="29" ht="20.1" customHeight="1">
      <c r="B29" t="s" s="18">
        <v>27</v>
      </c>
      <c r="C29" s="16"/>
      <c r="D29" s="17"/>
      <c r="E29" s="17"/>
      <c r="F29" s="17"/>
    </row>
    <row r="30" ht="20.1" customHeight="1">
      <c r="B30" t="s" s="9">
        <v>28</v>
      </c>
      <c r="C30" s="16">
        <f>' Cashflow'!R15-C10</f>
        <v>4172.053802603310</v>
      </c>
      <c r="D30" s="17">
        <f>C30-D10</f>
        <v>4500.636393232650</v>
      </c>
      <c r="E30" s="17">
        <f>D30-E10</f>
        <v>4836.347135674580</v>
      </c>
      <c r="F30" s="17">
        <f>E30-F10</f>
        <v>5190.234665238610</v>
      </c>
    </row>
    <row r="31" ht="20.1" customHeight="1">
      <c r="B31" t="s" s="9">
        <v>29</v>
      </c>
      <c r="C31" s="16"/>
      <c r="D31" s="17"/>
      <c r="E31" s="17"/>
      <c r="F31" s="17">
        <v>66160</v>
      </c>
    </row>
    <row r="32" ht="20.1" customHeight="1">
      <c r="B32" t="s" s="9">
        <v>30</v>
      </c>
      <c r="C32" s="16"/>
      <c r="D32" s="17"/>
      <c r="E32" s="17"/>
      <c r="F32" s="21">
        <f>F31/(F16+F24)</f>
        <v>0.486423325703683</v>
      </c>
    </row>
    <row r="33" ht="20.1" customHeight="1">
      <c r="B33" t="s" s="9">
        <v>31</v>
      </c>
      <c r="C33" s="16"/>
      <c r="D33" s="17"/>
      <c r="E33" s="17"/>
      <c r="F33" s="15">
        <f>-(C11+D11+E11+F11)/F31</f>
        <v>0.0203028214213815</v>
      </c>
    </row>
    <row r="34" ht="20.1" customHeight="1">
      <c r="B34" t="s" s="9">
        <v>32</v>
      </c>
      <c r="C34" s="16"/>
      <c r="D34" s="17"/>
      <c r="E34" s="17"/>
      <c r="F34" s="17">
        <f>SUM(C8:F9)</f>
        <v>4748.448884128670</v>
      </c>
    </row>
    <row r="35" ht="20.1" customHeight="1">
      <c r="B35" t="s" s="9">
        <v>27</v>
      </c>
      <c r="C35" s="16"/>
      <c r="D35" s="17"/>
      <c r="E35" s="17"/>
      <c r="F35" s="17">
        <f>F31/F34</f>
        <v>13.9329708741595</v>
      </c>
    </row>
    <row r="36" ht="20.1" customHeight="1">
      <c r="B36" t="s" s="9">
        <v>33</v>
      </c>
      <c r="C36" s="16"/>
      <c r="D36" s="17"/>
      <c r="E36" s="17"/>
      <c r="F36" s="17">
        <v>18</v>
      </c>
    </row>
    <row r="37" ht="20.1" customHeight="1">
      <c r="B37" t="s" s="9">
        <v>34</v>
      </c>
      <c r="C37" s="16"/>
      <c r="D37" s="17"/>
      <c r="E37" s="17"/>
      <c r="F37" s="17">
        <f>F34*F36</f>
        <v>85472.0799143161</v>
      </c>
    </row>
    <row r="38" ht="20.1" customHeight="1">
      <c r="B38" t="s" s="9">
        <v>35</v>
      </c>
      <c r="C38" s="12"/>
      <c r="D38" s="13"/>
      <c r="E38" s="13"/>
      <c r="F38" s="13">
        <f>F31/F40</f>
        <v>6.96421052631579</v>
      </c>
    </row>
    <row r="39" ht="20.1" customHeight="1">
      <c r="B39" t="s" s="9">
        <v>36</v>
      </c>
      <c r="C39" s="12"/>
      <c r="D39" s="13"/>
      <c r="E39" s="13"/>
      <c r="F39" s="13">
        <f>F37/F38</f>
        <v>12273.0465415055</v>
      </c>
    </row>
    <row r="40" ht="20.1" customHeight="1">
      <c r="B40" t="s" s="9">
        <v>37</v>
      </c>
      <c r="C40" s="12"/>
      <c r="D40" s="13"/>
      <c r="E40" s="13"/>
      <c r="F40" s="13">
        <f>'Share price'!C16</f>
        <v>9500</v>
      </c>
    </row>
    <row r="41" ht="20.1" customHeight="1">
      <c r="B41" t="s" s="9">
        <v>38</v>
      </c>
      <c r="C41" s="12"/>
      <c r="D41" s="13"/>
      <c r="E41" s="13"/>
      <c r="F41" s="15">
        <f>F39/F40-1</f>
        <v>0.291899635947947</v>
      </c>
    </row>
    <row r="42" ht="20.1" customHeight="1">
      <c r="B42" t="s" s="9">
        <v>39</v>
      </c>
      <c r="C42" s="12"/>
      <c r="D42" s="13"/>
      <c r="E42" s="13"/>
      <c r="F42" s="15">
        <f>'Sales'!C15/'Sales'!C11-1</f>
        <v>0.089922480620155</v>
      </c>
    </row>
    <row r="43" ht="20.1" customHeight="1">
      <c r="B43" t="s" s="9">
        <v>40</v>
      </c>
      <c r="C43" s="12"/>
      <c r="D43" s="13"/>
      <c r="E43" s="13"/>
      <c r="F43" s="15">
        <f>('Sales'!D9+'Sales'!D15+'Sales'!D10+'Sales'!D11+'Sales'!D12+'Sales'!D13+'Sales'!D14)/('Sales'!C9+'Sales'!C10+'Sales'!C11+'Sales'!C12+'Sales'!C13+'Sales'!C15+'Sales'!C14)-1</f>
        <v>-1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1719" style="22" customWidth="1"/>
    <col min="2" max="2" width="9.92969" style="22" customWidth="1"/>
    <col min="3" max="5" width="9.30469" style="22" customWidth="1"/>
    <col min="6" max="10" width="10.5312" style="22" customWidth="1"/>
    <col min="11" max="16384" width="16.3516" style="22" customWidth="1"/>
  </cols>
  <sheetData>
    <row r="1" ht="76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44.25" customHeight="1">
      <c r="B3" t="s" s="5">
        <v>1</v>
      </c>
      <c r="C3" t="s" s="5">
        <v>5</v>
      </c>
      <c r="D3" t="s" s="5">
        <v>41</v>
      </c>
      <c r="E3" t="s" s="5">
        <v>19</v>
      </c>
      <c r="F3" t="s" s="5">
        <v>18</v>
      </c>
      <c r="G3" t="s" s="5">
        <v>42</v>
      </c>
      <c r="H3" t="s" s="5">
        <v>43</v>
      </c>
      <c r="I3" t="s" s="5">
        <v>44</v>
      </c>
      <c r="J3" t="s" s="5">
        <v>45</v>
      </c>
    </row>
    <row r="4" ht="20.25" customHeight="1">
      <c r="B4" s="23">
        <v>2019</v>
      </c>
      <c r="C4" s="24">
        <f>1778+462</f>
        <v>2240</v>
      </c>
      <c r="D4" s="25"/>
      <c r="E4" s="25">
        <v>53</v>
      </c>
      <c r="F4" s="25"/>
      <c r="G4" s="25">
        <v>485</v>
      </c>
      <c r="H4" s="26">
        <f>C4/'Balance Sheet '!E4</f>
        <v>0.0292558054488938</v>
      </c>
      <c r="I4" s="27"/>
      <c r="J4" s="27">
        <f>(G4+E4-C4+F4)/C4</f>
        <v>-0.759821428571429</v>
      </c>
    </row>
    <row r="5" ht="20.05" customHeight="1">
      <c r="B5" s="28"/>
      <c r="C5" s="16">
        <f>3612+930-C4</f>
        <v>2302</v>
      </c>
      <c r="D5" s="17"/>
      <c r="E5" s="17">
        <f>121-E4</f>
        <v>68</v>
      </c>
      <c r="F5" s="17"/>
      <c r="G5" s="17">
        <f>891-G4</f>
        <v>406</v>
      </c>
      <c r="H5" s="29">
        <f>C5/'Balance Sheet '!E5</f>
        <v>0.0291939329376554</v>
      </c>
      <c r="I5" s="15">
        <f>C5/C4-1</f>
        <v>0.0276785714285714</v>
      </c>
      <c r="J5" s="15">
        <f>(G5+E5-C5+F5)/C5</f>
        <v>-0.794092093831451</v>
      </c>
    </row>
    <row r="6" ht="20.05" customHeight="1">
      <c r="B6" s="28"/>
      <c r="C6" s="16">
        <f>5511+1368-C5-C4</f>
        <v>2337</v>
      </c>
      <c r="D6" s="17"/>
      <c r="E6" s="17">
        <f>138-E5-E4</f>
        <v>17</v>
      </c>
      <c r="F6" s="17"/>
      <c r="G6" s="17">
        <f>1381-G5-G4</f>
        <v>490</v>
      </c>
      <c r="H6" s="29">
        <f>C6/'Balance Sheet '!E6</f>
        <v>0.0284788145404029</v>
      </c>
      <c r="I6" s="15">
        <f>C6/C5-1</f>
        <v>0.0152041702867072</v>
      </c>
      <c r="J6" s="15">
        <f>(G6+E6-C6+F6)/C6</f>
        <v>-0.783055198973042</v>
      </c>
    </row>
    <row r="7" ht="20.05" customHeight="1">
      <c r="B7" s="28"/>
      <c r="C7" s="16">
        <f>7454+1922-C6-C5-C4</f>
        <v>2497</v>
      </c>
      <c r="D7" s="17"/>
      <c r="E7" s="17">
        <f>177-E6-E5-E4</f>
        <v>39</v>
      </c>
      <c r="F7" s="17"/>
      <c r="G7" s="17">
        <f>2003-G6-G5-G4</f>
        <v>622</v>
      </c>
      <c r="H7" s="29">
        <f>C7/'Balance Sheet '!E7</f>
        <v>0.0287133608546163</v>
      </c>
      <c r="I7" s="15">
        <f>C7/C6-1</f>
        <v>0.06846384253316221</v>
      </c>
      <c r="J7" s="15">
        <f>(G7+E7-C7+F7)/C7</f>
        <v>-0.735282338806568</v>
      </c>
    </row>
    <row r="8" ht="20.05" customHeight="1">
      <c r="B8" s="30">
        <v>2020</v>
      </c>
      <c r="C8" s="16">
        <f>2003+411</f>
        <v>2414</v>
      </c>
      <c r="D8" s="17"/>
      <c r="E8" s="17">
        <v>80</v>
      </c>
      <c r="F8" s="17">
        <v>75.25</v>
      </c>
      <c r="G8" s="17">
        <v>669</v>
      </c>
      <c r="H8" s="29">
        <f>C8/'Balance Sheet '!E8</f>
        <v>0.0284938621340888</v>
      </c>
      <c r="I8" s="15">
        <f>C8/C7-1</f>
        <v>-0.0332398878654385</v>
      </c>
      <c r="J8" s="15">
        <f>(G8+E8-C8+F8)/C8</f>
        <v>-0.658554266777133</v>
      </c>
    </row>
    <row r="9" ht="20.05" customHeight="1">
      <c r="B9" s="28"/>
      <c r="C9" s="16">
        <f>4027+727-C8</f>
        <v>2340</v>
      </c>
      <c r="D9" s="17"/>
      <c r="E9" s="17">
        <v>0</v>
      </c>
      <c r="F9" s="17">
        <v>75.25</v>
      </c>
      <c r="G9" s="17">
        <f>1182-G8</f>
        <v>513</v>
      </c>
      <c r="H9" s="29">
        <f>C9/'Balance Sheet '!E9</f>
        <v>0.0252647944806141</v>
      </c>
      <c r="I9" s="15">
        <f>C9/C8-1</f>
        <v>-0.0306545153272577</v>
      </c>
      <c r="J9" s="15">
        <f>(G9+E9-C9+F9)/C9</f>
        <v>-0.748611111111111</v>
      </c>
    </row>
    <row r="10" ht="20.05" customHeight="1">
      <c r="B10" s="28"/>
      <c r="C10" s="16">
        <f>6036+1048-C9-C8</f>
        <v>2330</v>
      </c>
      <c r="D10" s="17"/>
      <c r="E10" s="17">
        <f>68-E9-E8</f>
        <v>-12</v>
      </c>
      <c r="F10" s="17">
        <v>75.25</v>
      </c>
      <c r="G10" s="17">
        <f>1764-G9-G8</f>
        <v>582</v>
      </c>
      <c r="H10" s="29">
        <f>C10/'Balance Sheet '!E10</f>
        <v>0.0235056746532156</v>
      </c>
      <c r="I10" s="15">
        <f>C10/C9-1</f>
        <v>-0.00427350427350427</v>
      </c>
      <c r="J10" s="15">
        <f>(G10+E10-C10+F10)/C10</f>
        <v>-0.7230686695278969</v>
      </c>
    </row>
    <row r="11" ht="20.05" customHeight="1">
      <c r="B11" s="28"/>
      <c r="C11" s="16">
        <f>8046+1618-SUM(C8:C10)</f>
        <v>2580</v>
      </c>
      <c r="D11" s="17"/>
      <c r="E11" s="17">
        <f>115-SUM(E8:E10)</f>
        <v>47</v>
      </c>
      <c r="F11" s="17">
        <v>75.25</v>
      </c>
      <c r="G11" s="17">
        <f>3008-SUM(G8:G10)</f>
        <v>1244</v>
      </c>
      <c r="H11" s="29">
        <f>C11/'Balance Sheet '!E11</f>
        <v>0.0246863966472429</v>
      </c>
      <c r="I11" s="15">
        <f>C11/C10-1</f>
        <v>0.107296137339056</v>
      </c>
      <c r="J11" s="15">
        <f>(G11+E11-C11+F11)/C11</f>
        <v>-0.470445736434109</v>
      </c>
    </row>
    <row r="12" ht="20.05" customHeight="1">
      <c r="B12" s="30">
        <v>2021</v>
      </c>
      <c r="C12" s="16">
        <f>1990+354</f>
        <v>2344</v>
      </c>
      <c r="D12" s="17"/>
      <c r="E12" s="17">
        <v>6</v>
      </c>
      <c r="F12" s="17">
        <v>66.75</v>
      </c>
      <c r="G12" s="17">
        <v>747</v>
      </c>
      <c r="H12" s="29">
        <f>C12/'Balance Sheet '!E12</f>
        <v>0.0221297004371182</v>
      </c>
      <c r="I12" s="15">
        <f>C12/C11-1</f>
        <v>-0.0914728682170543</v>
      </c>
      <c r="J12" s="15">
        <f>(G12+E12-C12+F12)/C12</f>
        <v>-0.650277303754266</v>
      </c>
    </row>
    <row r="13" ht="20.05" customHeight="1">
      <c r="B13" s="28"/>
      <c r="C13" s="16">
        <f>4068+787-C12</f>
        <v>2511</v>
      </c>
      <c r="D13" s="17"/>
      <c r="E13" s="17">
        <f>16-E12</f>
        <v>10</v>
      </c>
      <c r="F13" s="17">
        <v>66.75</v>
      </c>
      <c r="G13" s="17">
        <f>1563-G12</f>
        <v>816</v>
      </c>
      <c r="H13" s="29">
        <f>C13/'Balance Sheet '!E13</f>
        <v>0.0237357028074487</v>
      </c>
      <c r="I13" s="15">
        <f>C13/C12-1</f>
        <v>0.0712457337883959</v>
      </c>
      <c r="J13" s="15">
        <f>(G13+E13-C13+F13)/C13</f>
        <v>-0.644464356829948</v>
      </c>
    </row>
    <row r="14" ht="20.05" customHeight="1">
      <c r="B14" s="28"/>
      <c r="C14" s="16">
        <f>6112+1307-SUM(C12:C13)</f>
        <v>2564</v>
      </c>
      <c r="D14" s="17"/>
      <c r="E14" s="17">
        <f>46-SUM(E12:E13)</f>
        <v>30</v>
      </c>
      <c r="F14" s="17">
        <v>66.75</v>
      </c>
      <c r="G14" s="17">
        <f>2530-SUM(G12:G13)</f>
        <v>967</v>
      </c>
      <c r="H14" s="29">
        <f>C14/'Balance Sheet '!E14</f>
        <v>0.0238698145527668</v>
      </c>
      <c r="I14" s="15">
        <f>C14/C13-1</f>
        <v>0.0211071286340104</v>
      </c>
      <c r="J14" s="15">
        <f>(G14+E14-C14+F14)/C14</f>
        <v>-0.5851209048361929</v>
      </c>
    </row>
    <row r="15" ht="20.05" customHeight="1">
      <c r="B15" s="28"/>
      <c r="C15" s="16">
        <f>8110+2121-SUM(C12:C14)</f>
        <v>2812</v>
      </c>
      <c r="D15" s="17"/>
      <c r="E15" s="17">
        <f>104-SUM(E12:E14)</f>
        <v>58</v>
      </c>
      <c r="F15" s="17">
        <v>66.75</v>
      </c>
      <c r="G15" s="17">
        <f>4008-SUM(G12:G14)</f>
        <v>1478</v>
      </c>
      <c r="H15" s="29">
        <f>C15/'Balance Sheet '!E15</f>
        <v>0.0243322055604108</v>
      </c>
      <c r="I15" s="15">
        <f>C15/C14-1</f>
        <v>0.09672386895475819</v>
      </c>
      <c r="J15" s="15">
        <f>(G15+E15-C15+F15)/C15</f>
        <v>-0.4300320056899</v>
      </c>
    </row>
    <row r="16" ht="20.05" customHeight="1">
      <c r="B16" s="30">
        <v>2022</v>
      </c>
      <c r="C16" s="16"/>
      <c r="D16" s="17">
        <f>'Model'!C5</f>
        <v>2783.88</v>
      </c>
      <c r="E16" s="17"/>
      <c r="F16" s="31"/>
      <c r="G16" s="17"/>
      <c r="H16" s="31"/>
      <c r="I16" s="11"/>
      <c r="J16" s="11">
        <f>'Model'!C6</f>
        <v>-0.577473642777577</v>
      </c>
    </row>
    <row r="17" ht="20.05" customHeight="1">
      <c r="B17" s="28"/>
      <c r="C17" s="16"/>
      <c r="D17" s="17">
        <f>SUM('Model'!D5)</f>
        <v>2811.7188</v>
      </c>
      <c r="E17" s="17"/>
      <c r="F17" s="17"/>
      <c r="G17" s="17"/>
      <c r="H17" s="31"/>
      <c r="I17" s="11"/>
      <c r="J17" s="11"/>
    </row>
    <row r="18" ht="20.05" customHeight="1">
      <c r="B18" s="28"/>
      <c r="C18" s="16"/>
      <c r="D18" s="17">
        <f>'Model'!E5</f>
        <v>2867.953176</v>
      </c>
      <c r="E18" s="17"/>
      <c r="F18" s="17"/>
      <c r="G18" s="17"/>
      <c r="H18" s="31"/>
      <c r="I18" s="11"/>
      <c r="J18" s="11"/>
    </row>
    <row r="19" ht="20.05" customHeight="1">
      <c r="B19" s="28"/>
      <c r="C19" s="16"/>
      <c r="D19" s="17">
        <f>'Model'!F5</f>
        <v>3011.3508348</v>
      </c>
      <c r="E19" s="17"/>
      <c r="F19" s="17"/>
      <c r="G19" s="17"/>
      <c r="H19" s="31"/>
      <c r="I19" s="11"/>
      <c r="J19" s="11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R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6406" style="32" customWidth="1"/>
    <col min="2" max="18" width="9.34375" style="32" customWidth="1"/>
    <col min="19" max="16384" width="16.3516" style="32" customWidth="1"/>
  </cols>
  <sheetData>
    <row r="1" ht="16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56.25" customHeight="1">
      <c r="B3" t="s" s="5">
        <v>1</v>
      </c>
      <c r="C3" t="s" s="5">
        <v>46</v>
      </c>
      <c r="D3" t="s" s="5">
        <v>45</v>
      </c>
      <c r="E3" t="s" s="5">
        <v>47</v>
      </c>
      <c r="F3" t="s" s="5">
        <v>48</v>
      </c>
      <c r="G3" t="s" s="5">
        <v>49</v>
      </c>
      <c r="H3" t="s" s="5">
        <v>50</v>
      </c>
      <c r="I3" t="s" s="5">
        <v>51</v>
      </c>
      <c r="J3" t="s" s="5">
        <v>24</v>
      </c>
      <c r="K3" t="s" s="5">
        <v>25</v>
      </c>
      <c r="L3" t="s" s="5">
        <v>52</v>
      </c>
      <c r="M3" t="s" s="5">
        <v>15</v>
      </c>
      <c r="N3" t="s" s="5">
        <v>53</v>
      </c>
      <c r="O3" t="s" s="5">
        <v>16</v>
      </c>
      <c r="P3" t="s" s="5">
        <v>54</v>
      </c>
      <c r="Q3" t="s" s="5">
        <v>3</v>
      </c>
      <c r="R3" t="s" s="5">
        <v>55</v>
      </c>
    </row>
    <row r="4" ht="20.25" customHeight="1">
      <c r="B4" s="23">
        <v>2019</v>
      </c>
      <c r="C4" s="24">
        <f>1691+574+103</f>
        <v>2368</v>
      </c>
      <c r="D4" s="25">
        <f>-55-888-733-71</f>
        <v>-1747</v>
      </c>
      <c r="E4" s="25">
        <f>C4+D4</f>
        <v>621</v>
      </c>
      <c r="F4" s="25">
        <v>-13</v>
      </c>
      <c r="G4" s="25">
        <v>185</v>
      </c>
      <c r="H4" s="25">
        <v>-1050</v>
      </c>
      <c r="I4" s="25"/>
      <c r="J4" s="25">
        <v>430</v>
      </c>
      <c r="K4" s="25">
        <v>0</v>
      </c>
      <c r="L4" s="25">
        <v>7842</v>
      </c>
      <c r="M4" s="25">
        <f>G4+H4+I4+J4+K4</f>
        <v>-435</v>
      </c>
      <c r="N4" s="25"/>
      <c r="O4" s="25">
        <f>L4+M4+N4</f>
        <v>7407</v>
      </c>
      <c r="P4" s="25">
        <f>E4+F4</f>
        <v>608</v>
      </c>
      <c r="Q4" s="25">
        <f>AVERAGE(P4:P4)</f>
        <v>608</v>
      </c>
      <c r="R4" s="25">
        <f>-(J4+K4)</f>
        <v>-430</v>
      </c>
    </row>
    <row r="5" ht="20.05" customHeight="1">
      <c r="B5" s="28"/>
      <c r="C5" s="16">
        <f>3606+1126+189-C4</f>
        <v>2553</v>
      </c>
      <c r="D5" s="17">
        <f>-78-1821-1549-170-D4</f>
        <v>-1871</v>
      </c>
      <c r="E5" s="17">
        <f>C5+D5</f>
        <v>682</v>
      </c>
      <c r="F5" s="17">
        <f>-44-F4</f>
        <v>-31</v>
      </c>
      <c r="G5" s="17">
        <f>-300-G4</f>
        <v>-485</v>
      </c>
      <c r="H5" s="17">
        <f>-1316-H4</f>
        <v>-266</v>
      </c>
      <c r="I5" s="17"/>
      <c r="J5" s="17">
        <f>0-J4</f>
        <v>-430</v>
      </c>
      <c r="K5" s="17">
        <f>-800-K4</f>
        <v>-800</v>
      </c>
      <c r="L5" s="17">
        <f>O4</f>
        <v>7407</v>
      </c>
      <c r="M5" s="17">
        <f>G5+H5+I5+J5+K5</f>
        <v>-1981</v>
      </c>
      <c r="N5" s="17"/>
      <c r="O5" s="17">
        <f>L5+M5+N5</f>
        <v>5426</v>
      </c>
      <c r="P5" s="17">
        <f>E5+F5</f>
        <v>651</v>
      </c>
      <c r="Q5" s="17">
        <f>AVERAGE(P4:P5)</f>
        <v>629.5</v>
      </c>
      <c r="R5" s="17">
        <f>-(J5+K5)+R4</f>
        <v>800</v>
      </c>
    </row>
    <row r="6" ht="20.05" customHeight="1">
      <c r="B6" s="28"/>
      <c r="C6" s="16">
        <f>5426+1622+294-C5-C4</f>
        <v>2421</v>
      </c>
      <c r="D6" s="17">
        <f>-89-2801-2310-280-D5-D4</f>
        <v>-1862</v>
      </c>
      <c r="E6" s="17">
        <f>C6+D6</f>
        <v>559</v>
      </c>
      <c r="F6" s="17">
        <f>-78-F5-F4</f>
        <v>-34</v>
      </c>
      <c r="G6" s="17">
        <f>1156-G5-G4</f>
        <v>1456</v>
      </c>
      <c r="H6" s="17">
        <f>-2650-H5-H4</f>
        <v>-1334</v>
      </c>
      <c r="I6" s="17"/>
      <c r="J6" s="17">
        <v>200</v>
      </c>
      <c r="K6" s="17">
        <v>0</v>
      </c>
      <c r="L6" s="17">
        <f>O5</f>
        <v>5426</v>
      </c>
      <c r="M6" s="17">
        <f>G6+H6+I6+J6+K6</f>
        <v>322</v>
      </c>
      <c r="N6" s="17"/>
      <c r="O6" s="17">
        <f>L6+M6+N6</f>
        <v>5748</v>
      </c>
      <c r="P6" s="17">
        <f>E6+F6</f>
        <v>525</v>
      </c>
      <c r="Q6" s="17">
        <f>AVERAGE(P4:P6)</f>
        <v>594.666666666667</v>
      </c>
      <c r="R6" s="17">
        <f>-(J6+K6)+R5</f>
        <v>600</v>
      </c>
    </row>
    <row r="7" ht="20.05" customHeight="1">
      <c r="B7" s="28"/>
      <c r="C7" s="16">
        <f>7472+1913+8+21+390-C6-C5-C4</f>
        <v>2462</v>
      </c>
      <c r="D7" s="17">
        <f>-55-3814-3000-434-D6-D5-D4</f>
        <v>-1823</v>
      </c>
      <c r="E7" s="17">
        <f>C7+D7</f>
        <v>639</v>
      </c>
      <c r="F7" s="17">
        <f>-94-F6-F5-F4</f>
        <v>-16</v>
      </c>
      <c r="G7" s="17">
        <f>3650-G6-G5-G4</f>
        <v>2494</v>
      </c>
      <c r="H7" s="17">
        <f>3148-H6-H5-H4</f>
        <v>5798</v>
      </c>
      <c r="I7" s="17"/>
      <c r="J7" s="17">
        <v>-200</v>
      </c>
      <c r="K7" s="17">
        <v>0</v>
      </c>
      <c r="L7" s="17">
        <f>O6</f>
        <v>5748</v>
      </c>
      <c r="M7" s="17">
        <f>G7+H7+I7+J7+K7</f>
        <v>8092</v>
      </c>
      <c r="N7" s="17"/>
      <c r="O7" s="17">
        <f>L7+M7+N7</f>
        <v>13840</v>
      </c>
      <c r="P7" s="17">
        <f>E7+F7</f>
        <v>623</v>
      </c>
      <c r="Q7" s="17">
        <f>AVERAGE(P4:P7)</f>
        <v>601.75</v>
      </c>
      <c r="R7" s="17">
        <f>-(J7+K7)+R6</f>
        <v>800</v>
      </c>
    </row>
    <row r="8" ht="20.05" customHeight="1">
      <c r="B8" s="30">
        <v>2020</v>
      </c>
      <c r="C8" s="16">
        <f>2026+713+87</f>
        <v>2826</v>
      </c>
      <c r="D8" s="17">
        <f>-29-1013-827-164</f>
        <v>-2033</v>
      </c>
      <c r="E8" s="17">
        <f>C8+D8</f>
        <v>793</v>
      </c>
      <c r="F8" s="17">
        <v>-25</v>
      </c>
      <c r="G8" s="17">
        <v>-2663</v>
      </c>
      <c r="H8" s="17">
        <v>3363</v>
      </c>
      <c r="I8" s="17"/>
      <c r="J8" s="17">
        <v>0</v>
      </c>
      <c r="K8" s="17">
        <v>0</v>
      </c>
      <c r="L8" s="17">
        <f>O7</f>
        <v>13840</v>
      </c>
      <c r="M8" s="17">
        <f>G8+H8+I8+J8+K8</f>
        <v>700</v>
      </c>
      <c r="N8" s="17"/>
      <c r="O8" s="17">
        <f>L8+M8+N8</f>
        <v>14540</v>
      </c>
      <c r="P8" s="17">
        <f>E8+F8</f>
        <v>768</v>
      </c>
      <c r="Q8" s="17">
        <f>AVERAGE(P5:P8)</f>
        <v>641.75</v>
      </c>
      <c r="R8" s="17">
        <f>-(J8+K8)+R7</f>
        <v>800</v>
      </c>
    </row>
    <row r="9" ht="20.05" customHeight="1">
      <c r="B9" s="28"/>
      <c r="C9" s="16">
        <f>4002+1200+147-C8</f>
        <v>2523</v>
      </c>
      <c r="D9" s="17">
        <f>-135-2026-1570-305-D8</f>
        <v>-2003</v>
      </c>
      <c r="E9" s="17">
        <f>C9+D9</f>
        <v>520</v>
      </c>
      <c r="F9" s="17">
        <f>-34-F8</f>
        <v>-9</v>
      </c>
      <c r="G9" s="17">
        <f>-3810-G8</f>
        <v>-1147</v>
      </c>
      <c r="H9" s="17">
        <f>-2462-H8</f>
        <v>-5825</v>
      </c>
      <c r="I9" s="17"/>
      <c r="J9" s="17">
        <v>50</v>
      </c>
      <c r="K9" s="17">
        <v>-1001</v>
      </c>
      <c r="L9" s="17">
        <f>O8</f>
        <v>14540</v>
      </c>
      <c r="M9" s="17">
        <f>G9+H9+I9+J9+K9</f>
        <v>-7923</v>
      </c>
      <c r="N9" s="17"/>
      <c r="O9" s="17">
        <f>L9+M9+N9</f>
        <v>6617</v>
      </c>
      <c r="P9" s="17">
        <f>E9+F9</f>
        <v>511</v>
      </c>
      <c r="Q9" s="17">
        <f>AVERAGE(P6:P9)</f>
        <v>606.75</v>
      </c>
      <c r="R9" s="17">
        <f>-(J9+K9)+R8</f>
        <v>1751</v>
      </c>
    </row>
    <row r="10" ht="20.05" customHeight="1">
      <c r="B10" s="28"/>
      <c r="C10" s="16">
        <f>5912+1461+178-C9-C8</f>
        <v>2202</v>
      </c>
      <c r="D10" s="17">
        <f>-22-3046-2204-443-D9-D8</f>
        <v>-1679</v>
      </c>
      <c r="E10" s="17">
        <f>C10+D10</f>
        <v>523</v>
      </c>
      <c r="F10" s="17">
        <f>-46-F9-F8</f>
        <v>-12</v>
      </c>
      <c r="G10" s="17">
        <f>2072-G9-G8</f>
        <v>5882</v>
      </c>
      <c r="H10" s="17">
        <f>-10262-H9-H8</f>
        <v>-7800</v>
      </c>
      <c r="I10" s="17"/>
      <c r="J10" s="17">
        <v>0</v>
      </c>
      <c r="K10" s="17">
        <v>0</v>
      </c>
      <c r="L10" s="17">
        <f>O9</f>
        <v>6617</v>
      </c>
      <c r="M10" s="17">
        <f>G10+H10+I10+J10+K10</f>
        <v>-1918</v>
      </c>
      <c r="N10" s="17"/>
      <c r="O10" s="17">
        <f>L10+M10+N10</f>
        <v>4699</v>
      </c>
      <c r="P10" s="17">
        <f>E10+F10</f>
        <v>511</v>
      </c>
      <c r="Q10" s="17">
        <f>AVERAGE(P7:P10)</f>
        <v>603.25</v>
      </c>
      <c r="R10" s="17">
        <f>-(J10+K10)+R9</f>
        <v>1751</v>
      </c>
    </row>
    <row r="11" ht="20.05" customHeight="1">
      <c r="B11" s="28"/>
      <c r="C11" s="16">
        <f>7971+1608+298+59+6-SUM(C8:C10)</f>
        <v>2391</v>
      </c>
      <c r="D11" s="17">
        <f>-4123-2810-715-18-SUM(D8:D10)</f>
        <v>-1951</v>
      </c>
      <c r="E11" s="17">
        <f>C11+D11</f>
        <v>440</v>
      </c>
      <c r="F11" s="17">
        <f>-91-SUM(F8:F10)</f>
        <v>-45</v>
      </c>
      <c r="G11" s="17">
        <f>-545-SUM(G8:G10)</f>
        <v>-2617</v>
      </c>
      <c r="H11" s="17">
        <f>-4933-SUM(H8:H10)</f>
        <v>5329</v>
      </c>
      <c r="I11" s="17"/>
      <c r="J11" s="17">
        <f>281+50-SUM(J8:J10)</f>
        <v>281</v>
      </c>
      <c r="K11" s="17">
        <f>-1001-SUM(K8:K10)</f>
        <v>0</v>
      </c>
      <c r="L11" s="17">
        <f>O10</f>
        <v>4699</v>
      </c>
      <c r="M11" s="17">
        <f>G11+H11+I11+J11+K11</f>
        <v>2993</v>
      </c>
      <c r="N11" s="17"/>
      <c r="O11" s="17">
        <f>L11+M11+N11</f>
        <v>7692</v>
      </c>
      <c r="P11" s="17">
        <f>E11+F11</f>
        <v>395</v>
      </c>
      <c r="Q11" s="17">
        <f>AVERAGE(P8:P11)</f>
        <v>546.25</v>
      </c>
      <c r="R11" s="17">
        <f>-(J11+K11)+R10</f>
        <v>1470</v>
      </c>
    </row>
    <row r="12" ht="20.05" customHeight="1">
      <c r="B12" s="30">
        <v>2021</v>
      </c>
      <c r="C12" s="16">
        <f>1819+368+70+25</f>
        <v>2282</v>
      </c>
      <c r="D12" s="17">
        <f>-787-457-123</f>
        <v>-1367</v>
      </c>
      <c r="E12" s="17">
        <f>C12+D12</f>
        <v>915</v>
      </c>
      <c r="F12" s="17">
        <v>-12</v>
      </c>
      <c r="G12" s="17">
        <v>17098</v>
      </c>
      <c r="H12" s="17">
        <v>-16738</v>
      </c>
      <c r="I12" s="17"/>
      <c r="J12" s="17">
        <v>-281</v>
      </c>
      <c r="K12" s="17">
        <v>-2100</v>
      </c>
      <c r="L12" s="17">
        <f>O11</f>
        <v>7692</v>
      </c>
      <c r="M12" s="17">
        <f>G12+H12+I12+J12+K12</f>
        <v>-2021</v>
      </c>
      <c r="N12" s="17"/>
      <c r="O12" s="17">
        <f>L12+M12+N12</f>
        <v>5671</v>
      </c>
      <c r="P12" s="17">
        <f>E12+F12</f>
        <v>903</v>
      </c>
      <c r="Q12" s="17">
        <f>AVERAGE(P9:P12)</f>
        <v>580</v>
      </c>
      <c r="R12" s="17">
        <f>-(J12+K12)+R11</f>
        <v>3851</v>
      </c>
    </row>
    <row r="13" ht="20.05" customHeight="1">
      <c r="B13" s="28"/>
      <c r="C13" s="16">
        <f>3782+814+158+28-C12</f>
        <v>2500</v>
      </c>
      <c r="D13" s="17">
        <f>-1604-1337-310-D12</f>
        <v>-1884</v>
      </c>
      <c r="E13" s="17">
        <f>C13+D13</f>
        <v>616</v>
      </c>
      <c r="F13" s="17">
        <f>-32-F12</f>
        <v>-20</v>
      </c>
      <c r="G13" s="17">
        <f>16731-G12</f>
        <v>-367</v>
      </c>
      <c r="H13" s="17">
        <f>-11966-H12</f>
        <v>4772</v>
      </c>
      <c r="I13" s="17"/>
      <c r="J13" s="17">
        <f>-281-J12</f>
        <v>0</v>
      </c>
      <c r="K13" s="17">
        <f>-2100-K12</f>
        <v>0</v>
      </c>
      <c r="L13" s="17">
        <f>O12</f>
        <v>5671</v>
      </c>
      <c r="M13" s="17">
        <f>G13+H13+I13+J13+K13</f>
        <v>4405</v>
      </c>
      <c r="N13" s="17"/>
      <c r="O13" s="17">
        <f>L13+M13+N13</f>
        <v>10076</v>
      </c>
      <c r="P13" s="17">
        <f>E13+F13</f>
        <v>596</v>
      </c>
      <c r="Q13" s="17">
        <f>AVERAGE(P10:P13)</f>
        <v>601.25</v>
      </c>
      <c r="R13" s="17">
        <f>-(J13+K13)+R12</f>
        <v>3851</v>
      </c>
    </row>
    <row r="14" ht="20.05" customHeight="1">
      <c r="B14" s="28"/>
      <c r="C14" s="16">
        <f>6007+1348+227+39-SUM(C12:C13)</f>
        <v>2839</v>
      </c>
      <c r="D14" s="17">
        <f>-2402-1976-526-SUM(D12:D13)</f>
        <v>-1653</v>
      </c>
      <c r="E14" s="17">
        <f>C14+D14</f>
        <v>1186</v>
      </c>
      <c r="F14" s="17">
        <f>-57-F13-F12</f>
        <v>-25</v>
      </c>
      <c r="G14" s="17">
        <f>15607-SUM(G12:G13)</f>
        <v>-1124</v>
      </c>
      <c r="H14" s="17">
        <f>-8570-SUM(H12:H13)</f>
        <v>3396</v>
      </c>
      <c r="I14" s="17"/>
      <c r="J14" s="17">
        <f>-281-SUM(J12:J13)</f>
        <v>0</v>
      </c>
      <c r="K14" s="17">
        <f>-2100-SUM(K12:K13)</f>
        <v>0</v>
      </c>
      <c r="L14" s="17">
        <f>O13</f>
        <v>10076</v>
      </c>
      <c r="M14" s="17">
        <f>G14+H14+I14+J14+K14</f>
        <v>2272</v>
      </c>
      <c r="N14" s="17"/>
      <c r="O14" s="17">
        <f>L14+M14+N14</f>
        <v>12348</v>
      </c>
      <c r="P14" s="17">
        <f>E14+F14</f>
        <v>1161</v>
      </c>
      <c r="Q14" s="17">
        <f>AVERAGE(P11:P14)</f>
        <v>763.75</v>
      </c>
      <c r="R14" s="17">
        <f>-(J14+K14)+R13</f>
        <v>3851</v>
      </c>
    </row>
    <row r="15" ht="20.05" customHeight="1">
      <c r="B15" s="28"/>
      <c r="C15" s="16">
        <f>8057+2110+305+226+9+15-SUM(C12:C14)</f>
        <v>3101</v>
      </c>
      <c r="D15" s="17">
        <f>-3340-2591-845-SUM(D12:D14)</f>
        <v>-1872</v>
      </c>
      <c r="E15" s="17">
        <f>C15+D15</f>
        <v>1229</v>
      </c>
      <c r="F15" s="17">
        <f>-50-SUM(F12:F14)</f>
        <v>7</v>
      </c>
      <c r="G15" s="17">
        <f>10933-SUM(G12:G14)</f>
        <v>-4674</v>
      </c>
      <c r="H15" s="17">
        <f>1064-SUM(H12:H14)</f>
        <v>9634</v>
      </c>
      <c r="I15" s="17">
        <v>0</v>
      </c>
      <c r="J15" s="17">
        <f>285-281-K15</f>
        <v>4</v>
      </c>
      <c r="K15" s="17">
        <f>-2100-SUM(K12:K14)</f>
        <v>0</v>
      </c>
      <c r="L15" s="17">
        <f>O14</f>
        <v>12348</v>
      </c>
      <c r="M15" s="17">
        <f>G15+H15+I15+J15+K15</f>
        <v>4964</v>
      </c>
      <c r="N15" s="17"/>
      <c r="O15" s="17">
        <f>L15+M15+N15</f>
        <v>17312</v>
      </c>
      <c r="P15" s="17">
        <f>E15+F15</f>
        <v>1236</v>
      </c>
      <c r="Q15" s="17">
        <f>AVERAGE(P12:P15)</f>
        <v>974</v>
      </c>
      <c r="R15" s="17">
        <f>-(J15+K15)+R14</f>
        <v>3847</v>
      </c>
    </row>
    <row r="16" ht="20.05" customHeight="1">
      <c r="B16" s="30">
        <v>2022</v>
      </c>
      <c r="C16" s="16"/>
      <c r="D16" s="17"/>
      <c r="E16" s="17">
        <f>C16+D16</f>
        <v>0</v>
      </c>
      <c r="F16" s="1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f>SUM('Model'!F8:F9)</f>
        <v>1247.375098546750</v>
      </c>
      <c r="R16" s="17">
        <f>'Model'!F30</f>
        <v>5190.234665238610</v>
      </c>
    </row>
  </sheetData>
  <mergeCells count="1">
    <mergeCell ref="B2:R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33" customWidth="1"/>
    <col min="2" max="5" width="9.61719" style="33" customWidth="1"/>
    <col min="6" max="11" width="10.5938" style="33" customWidth="1"/>
    <col min="12" max="16384" width="16.3516" style="33" customWidth="1"/>
  </cols>
  <sheetData>
    <row r="1" ht="16.3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44.25" customHeight="1">
      <c r="B3" t="s" s="5">
        <v>1</v>
      </c>
      <c r="C3" t="s" s="5">
        <v>56</v>
      </c>
      <c r="D3" t="s" s="5">
        <v>57</v>
      </c>
      <c r="E3" t="s" s="5">
        <v>58</v>
      </c>
      <c r="F3" t="s" s="5">
        <v>59</v>
      </c>
      <c r="G3" t="s" s="5">
        <v>24</v>
      </c>
      <c r="H3" t="s" s="5">
        <v>25</v>
      </c>
      <c r="I3" t="s" s="5">
        <v>60</v>
      </c>
      <c r="J3" t="s" s="5">
        <v>61</v>
      </c>
      <c r="K3" t="s" s="5">
        <v>62</v>
      </c>
    </row>
    <row r="4" ht="20.9" customHeight="1">
      <c r="B4" s="23">
        <v>2019</v>
      </c>
      <c r="C4" s="24">
        <f>' Cashflow'!O4</f>
        <v>7407</v>
      </c>
      <c r="D4" s="25">
        <v>83973</v>
      </c>
      <c r="E4" s="25">
        <f>D4-C4</f>
        <v>76566</v>
      </c>
      <c r="F4" s="25"/>
      <c r="G4" s="25">
        <v>69362</v>
      </c>
      <c r="H4" s="25">
        <f>D4-G4</f>
        <v>14611</v>
      </c>
      <c r="I4" s="25">
        <f>G4+H4-C4-E4</f>
        <v>0</v>
      </c>
      <c r="J4" s="34"/>
      <c r="K4" s="34"/>
    </row>
    <row r="5" ht="20.9" customHeight="1">
      <c r="B5" s="28"/>
      <c r="C5" s="16">
        <f>' Cashflow'!O5</f>
        <v>5426</v>
      </c>
      <c r="D5" s="17">
        <v>84278</v>
      </c>
      <c r="E5" s="17">
        <f>D5-C5</f>
        <v>78852</v>
      </c>
      <c r="F5" s="17"/>
      <c r="G5" s="17">
        <v>69918</v>
      </c>
      <c r="H5" s="17">
        <f>D5-G5</f>
        <v>14360</v>
      </c>
      <c r="I5" s="17">
        <f>G5+H5-C5-E5</f>
        <v>0</v>
      </c>
      <c r="J5" s="35">
        <f>E5/E4-1</f>
        <v>0.0298565943107907</v>
      </c>
      <c r="K5" s="35">
        <f>G5/G4-1</f>
        <v>0.00801591649606413</v>
      </c>
    </row>
    <row r="6" ht="20.9" customHeight="1">
      <c r="B6" s="28"/>
      <c r="C6" s="16">
        <f>' Cashflow'!O6</f>
        <v>5748</v>
      </c>
      <c r="D6" s="17">
        <v>87809</v>
      </c>
      <c r="E6" s="17">
        <f>D6-C6</f>
        <v>82061</v>
      </c>
      <c r="F6" s="17"/>
      <c r="G6" s="17">
        <v>72858</v>
      </c>
      <c r="H6" s="17">
        <f>D6-G6</f>
        <v>14951</v>
      </c>
      <c r="I6" s="17">
        <f>G6+H6-C6-E6</f>
        <v>0</v>
      </c>
      <c r="J6" s="35">
        <f>E6/E5-1</f>
        <v>0.0406964946989296</v>
      </c>
      <c r="K6" s="35">
        <f>G6/G5-1</f>
        <v>0.0420492577018793</v>
      </c>
    </row>
    <row r="7" ht="20.9" customHeight="1">
      <c r="B7" s="28"/>
      <c r="C7" s="16">
        <f>' Cashflow'!O7</f>
        <v>13840</v>
      </c>
      <c r="D7" s="17">
        <v>100803</v>
      </c>
      <c r="E7" s="17">
        <f>D7-C7</f>
        <v>86963</v>
      </c>
      <c r="F7" s="17"/>
      <c r="G7" s="17">
        <v>85262</v>
      </c>
      <c r="H7" s="17">
        <f>D7-G7</f>
        <v>15541</v>
      </c>
      <c r="I7" s="17">
        <f>G7+H7-C7-E7</f>
        <v>0</v>
      </c>
      <c r="J7" s="35">
        <f>E7/E6-1</f>
        <v>0.0597360500115768</v>
      </c>
      <c r="K7" s="35">
        <f>G7/G6-1</f>
        <v>0.17024897746301</v>
      </c>
    </row>
    <row r="8" ht="20.9" customHeight="1">
      <c r="B8" s="30">
        <v>2020</v>
      </c>
      <c r="C8" s="16">
        <f>' Cashflow'!O8</f>
        <v>14540</v>
      </c>
      <c r="D8" s="17">
        <v>99260</v>
      </c>
      <c r="E8" s="17">
        <f>D8-C8</f>
        <v>84720</v>
      </c>
      <c r="F8" s="17"/>
      <c r="G8" s="17">
        <v>83561</v>
      </c>
      <c r="H8" s="17">
        <f>D8-G8</f>
        <v>15699</v>
      </c>
      <c r="I8" s="17">
        <f>G8+H8-C8-E8</f>
        <v>0</v>
      </c>
      <c r="J8" s="35">
        <f>E8/E7-1</f>
        <v>-0.0257925784529053</v>
      </c>
      <c r="K8" s="35">
        <f>G8/G7-1</f>
        <v>-0.0199502709296052</v>
      </c>
    </row>
    <row r="9" ht="20.9" customHeight="1">
      <c r="B9" s="28"/>
      <c r="C9" s="16">
        <f>' Cashflow'!O9</f>
        <v>6617</v>
      </c>
      <c r="D9" s="17">
        <v>99236</v>
      </c>
      <c r="E9" s="17">
        <f>D9-C9</f>
        <v>92619</v>
      </c>
      <c r="F9" s="17"/>
      <c r="G9" s="17">
        <v>83930</v>
      </c>
      <c r="H9" s="17">
        <f>D9-G9</f>
        <v>15306</v>
      </c>
      <c r="I9" s="17">
        <f>G9+H9-C9-E9</f>
        <v>0</v>
      </c>
      <c r="J9" s="35">
        <f>E9/E8-1</f>
        <v>0.09323654390934839</v>
      </c>
      <c r="K9" s="35">
        <f>G9/G8-1</f>
        <v>0.00441593566376659</v>
      </c>
    </row>
    <row r="10" ht="20.9" customHeight="1">
      <c r="B10" s="28"/>
      <c r="C10" s="16">
        <f>' Cashflow'!O10</f>
        <v>4699</v>
      </c>
      <c r="D10" s="17">
        <v>103824</v>
      </c>
      <c r="E10" s="17">
        <f>D10-C10</f>
        <v>99125</v>
      </c>
      <c r="F10" s="17"/>
      <c r="G10" s="17">
        <v>87789</v>
      </c>
      <c r="H10" s="17">
        <f>D10-G10</f>
        <v>16035</v>
      </c>
      <c r="I10" s="17">
        <f>G10+H10-C10-E10</f>
        <v>0</v>
      </c>
      <c r="J10" s="35">
        <f>E10/E9-1</f>
        <v>0.0702447661926818</v>
      </c>
      <c r="K10" s="35">
        <f>G10/G9-1</f>
        <v>0.0459787918503515</v>
      </c>
    </row>
    <row r="11" ht="20.9" customHeight="1">
      <c r="B11" s="28"/>
      <c r="C11" s="16">
        <f>' Cashflow'!O11</f>
        <v>7692</v>
      </c>
      <c r="D11" s="17">
        <v>112203</v>
      </c>
      <c r="E11" s="17">
        <f>D11-C11</f>
        <v>104511</v>
      </c>
      <c r="F11" s="17">
        <v>1683</v>
      </c>
      <c r="G11" s="17">
        <v>93995</v>
      </c>
      <c r="H11" s="17">
        <f>D11-G11</f>
        <v>18208</v>
      </c>
      <c r="I11" s="17">
        <f>G11+H11-C11-E11</f>
        <v>0</v>
      </c>
      <c r="J11" s="35">
        <f>E11/E10-1</f>
        <v>0.0543354350567465</v>
      </c>
      <c r="K11" s="35">
        <f>G11/G10-1</f>
        <v>0.0706922279556664</v>
      </c>
    </row>
    <row r="12" ht="20.9" customHeight="1">
      <c r="B12" s="30">
        <v>2021</v>
      </c>
      <c r="C12" s="16">
        <f>' Cashflow'!O12</f>
        <v>5671</v>
      </c>
      <c r="D12" s="17">
        <v>111592</v>
      </c>
      <c r="E12" s="17">
        <f>D12-C12</f>
        <v>105921</v>
      </c>
      <c r="F12" s="17"/>
      <c r="G12" s="17">
        <v>95833</v>
      </c>
      <c r="H12" s="17">
        <f>D12-G12</f>
        <v>15759</v>
      </c>
      <c r="I12" s="17">
        <f>G12+H12-C12-E12</f>
        <v>0</v>
      </c>
      <c r="J12" s="35">
        <f>E12/E11-1</f>
        <v>0.013491402818842</v>
      </c>
      <c r="K12" s="35">
        <f>G12/G11-1</f>
        <v>0.0195542316080643</v>
      </c>
    </row>
    <row r="13" ht="20.9" customHeight="1">
      <c r="B13" s="28"/>
      <c r="C13" s="16">
        <f>' Cashflow'!O13</f>
        <v>10076</v>
      </c>
      <c r="D13" s="17">
        <v>115866</v>
      </c>
      <c r="E13" s="17">
        <f>D13-C13</f>
        <v>105790</v>
      </c>
      <c r="F13" s="17"/>
      <c r="G13" s="17">
        <v>98874</v>
      </c>
      <c r="H13" s="17">
        <f>D13-G13</f>
        <v>16992</v>
      </c>
      <c r="I13" s="17">
        <f>G13+H13-C13-E13</f>
        <v>0</v>
      </c>
      <c r="J13" s="35">
        <f>E13/E12-1</f>
        <v>-0.0012367708008799</v>
      </c>
      <c r="K13" s="35">
        <f>G13/G12-1</f>
        <v>0.0317322842862062</v>
      </c>
    </row>
    <row r="14" ht="20.9" customHeight="1">
      <c r="B14" s="28"/>
      <c r="C14" s="16">
        <f>' Cashflow'!O14</f>
        <v>12348</v>
      </c>
      <c r="D14" s="17">
        <v>119764</v>
      </c>
      <c r="E14" s="17">
        <f>D14-C14</f>
        <v>107416</v>
      </c>
      <c r="F14" s="17"/>
      <c r="G14" s="17">
        <v>101459</v>
      </c>
      <c r="H14" s="17">
        <f>D14-G14</f>
        <v>18305</v>
      </c>
      <c r="I14" s="17">
        <f>G14+H14-C14-E14</f>
        <v>0</v>
      </c>
      <c r="J14" s="35">
        <f>E14/E13-1</f>
        <v>0.0153700727857075</v>
      </c>
      <c r="K14" s="35">
        <f>G14/G13-1</f>
        <v>0.026144385783927</v>
      </c>
    </row>
    <row r="15" ht="20.9" customHeight="1">
      <c r="B15" s="28"/>
      <c r="C15" s="16">
        <f>' Cashflow'!O15</f>
        <v>17312</v>
      </c>
      <c r="D15" s="17">
        <v>132879</v>
      </c>
      <c r="E15" s="17">
        <f>D15-C15</f>
        <v>115567</v>
      </c>
      <c r="F15" s="17">
        <v>1938</v>
      </c>
      <c r="G15" s="17">
        <v>113735</v>
      </c>
      <c r="H15" s="17">
        <f>D15-G15</f>
        <v>19144</v>
      </c>
      <c r="I15" s="17">
        <f>G15+H15-C15-E15</f>
        <v>0</v>
      </c>
      <c r="J15" s="35">
        <f>E15/E14-1</f>
        <v>0.0758825500856483</v>
      </c>
      <c r="K15" s="35">
        <f>G15/G14-1</f>
        <v>0.12099468750924</v>
      </c>
    </row>
    <row r="16" ht="20.9" customHeight="1">
      <c r="B16" s="30">
        <v>2022</v>
      </c>
      <c r="C16" s="16"/>
      <c r="D16" s="17"/>
      <c r="E16" s="17"/>
      <c r="F16" s="17"/>
      <c r="G16" s="17"/>
      <c r="H16" s="17"/>
      <c r="I16" s="17"/>
      <c r="J16" s="35"/>
      <c r="K16" s="35"/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36" customWidth="1"/>
    <col min="2" max="2" width="6.86719" style="36" customWidth="1"/>
    <col min="3" max="5" width="8.32031" style="36" customWidth="1"/>
    <col min="6" max="16384" width="16.3516" style="36" customWidth="1"/>
  </cols>
  <sheetData>
    <row r="1" ht="7.3" customHeight="1"/>
    <row r="2" ht="27.65" customHeight="1">
      <c r="B2" t="s" s="2">
        <v>63</v>
      </c>
      <c r="C2" s="2"/>
      <c r="D2" s="2"/>
      <c r="E2" s="2"/>
    </row>
    <row r="3" ht="32.25" customHeight="1">
      <c r="B3" s="4"/>
      <c r="C3" t="s" s="37">
        <v>64</v>
      </c>
      <c r="D3" t="s" s="37">
        <v>36</v>
      </c>
      <c r="E3" t="s" s="37">
        <v>65</v>
      </c>
    </row>
    <row r="4" ht="20.25" customHeight="1">
      <c r="B4" s="23">
        <v>2019</v>
      </c>
      <c r="C4" s="24">
        <v>5575</v>
      </c>
      <c r="D4" s="38"/>
      <c r="E4" s="38"/>
    </row>
    <row r="5" ht="20.05" customHeight="1">
      <c r="B5" s="28"/>
      <c r="C5" s="16">
        <v>5850</v>
      </c>
      <c r="D5" s="39"/>
      <c r="E5" s="39"/>
    </row>
    <row r="6" ht="20.05" customHeight="1">
      <c r="B6" s="28"/>
      <c r="C6" s="16">
        <v>6000</v>
      </c>
      <c r="D6" s="39"/>
      <c r="E6" s="39"/>
    </row>
    <row r="7" ht="20.05" customHeight="1">
      <c r="B7" s="28"/>
      <c r="C7" s="16">
        <v>6350</v>
      </c>
      <c r="D7" s="39"/>
      <c r="E7" s="39"/>
    </row>
    <row r="8" ht="20.05" customHeight="1">
      <c r="B8" s="30">
        <v>2020</v>
      </c>
      <c r="C8" s="16">
        <v>6500</v>
      </c>
      <c r="D8" s="39"/>
      <c r="E8" s="39"/>
    </row>
    <row r="9" ht="20.05" customHeight="1">
      <c r="B9" s="28"/>
      <c r="C9" s="16">
        <v>6550</v>
      </c>
      <c r="D9" s="31"/>
      <c r="E9" s="31"/>
    </row>
    <row r="10" ht="20.05" customHeight="1">
      <c r="B10" s="28"/>
      <c r="C10" s="16">
        <v>7000</v>
      </c>
      <c r="D10" s="31"/>
      <c r="E10" s="31"/>
    </row>
    <row r="11" ht="20.05" customHeight="1">
      <c r="B11" s="28"/>
      <c r="C11" s="16">
        <v>7200</v>
      </c>
      <c r="D11" s="31"/>
      <c r="E11" s="31"/>
    </row>
    <row r="12" ht="20.05" customHeight="1">
      <c r="B12" s="30">
        <v>2021</v>
      </c>
      <c r="C12" s="16">
        <v>8925</v>
      </c>
      <c r="D12" s="31"/>
      <c r="E12" s="31"/>
    </row>
    <row r="13" ht="20.05" customHeight="1">
      <c r="B13" s="28"/>
      <c r="C13" s="16">
        <v>7975</v>
      </c>
      <c r="D13" s="31"/>
      <c r="E13" s="31"/>
    </row>
    <row r="14" ht="20.05" customHeight="1">
      <c r="B14" s="28"/>
      <c r="C14" s="16">
        <v>8700</v>
      </c>
      <c r="D14" s="31"/>
      <c r="E14" s="31"/>
    </row>
    <row r="15" ht="20.05" customHeight="1">
      <c r="B15" s="28"/>
      <c r="C15" s="16">
        <v>8475</v>
      </c>
      <c r="D15" s="31"/>
      <c r="E15" s="31"/>
    </row>
    <row r="16" ht="20.05" customHeight="1">
      <c r="B16" s="30">
        <v>2022</v>
      </c>
      <c r="C16" s="16">
        <v>9500</v>
      </c>
      <c r="D16" s="17">
        <f>C16</f>
        <v>9500</v>
      </c>
      <c r="E16" s="31"/>
    </row>
    <row r="17" ht="20.05" customHeight="1">
      <c r="B17" s="28"/>
      <c r="C17" s="16"/>
      <c r="D17" s="13">
        <f>'Model'!F39</f>
        <v>12273.0465415055</v>
      </c>
      <c r="E17" s="3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5625" style="40" customWidth="1"/>
    <col min="9" max="16384" width="16.3516" style="40" customWidth="1"/>
  </cols>
  <sheetData>
    <row r="1" ht="27.65" customHeight="1">
      <c r="A1" t="s" s="2">
        <v>55</v>
      </c>
      <c r="B1" s="2"/>
      <c r="C1" s="2"/>
      <c r="D1" s="2"/>
      <c r="E1" s="2"/>
      <c r="F1" s="2"/>
      <c r="G1" s="2"/>
      <c r="H1" s="2"/>
    </row>
    <row r="2" ht="20.25" customHeight="1">
      <c r="A2" s="41"/>
      <c r="B2" t="s" s="5">
        <v>24</v>
      </c>
      <c r="C2" t="s" s="5">
        <v>25</v>
      </c>
      <c r="D2" t="s" s="5">
        <v>66</v>
      </c>
      <c r="E2" t="s" s="5">
        <v>24</v>
      </c>
      <c r="F2" t="s" s="5">
        <v>25</v>
      </c>
      <c r="G2" t="s" s="5">
        <v>67</v>
      </c>
      <c r="H2" s="4"/>
    </row>
    <row r="3" ht="20.25" customHeight="1">
      <c r="A3" s="23">
        <v>1998</v>
      </c>
      <c r="B3" s="24"/>
      <c r="C3" s="25"/>
      <c r="D3" s="25">
        <f>B3+C3</f>
        <v>0</v>
      </c>
      <c r="E3" s="25">
        <f>B3</f>
        <v>0</v>
      </c>
      <c r="F3" s="25">
        <f>C3</f>
        <v>0</v>
      </c>
      <c r="G3" s="25">
        <f>D3</f>
        <v>0</v>
      </c>
      <c r="H3" s="42"/>
    </row>
    <row r="4" ht="20.05" customHeight="1">
      <c r="A4" s="30">
        <v>1999</v>
      </c>
      <c r="B4" s="16"/>
      <c r="C4" s="17"/>
      <c r="D4" s="17">
        <f>B4+C4</f>
        <v>0</v>
      </c>
      <c r="E4" s="17">
        <f>B4+E3</f>
        <v>0</v>
      </c>
      <c r="F4" s="17">
        <f>C4+F3</f>
        <v>0</v>
      </c>
      <c r="G4" s="17">
        <f>D4+G3</f>
        <v>0</v>
      </c>
      <c r="H4" s="31"/>
    </row>
    <row r="5" ht="20.05" customHeight="1">
      <c r="A5" s="30">
        <v>2000</v>
      </c>
      <c r="B5" s="16"/>
      <c r="C5" s="17"/>
      <c r="D5" s="17">
        <f>B5+C5</f>
        <v>0</v>
      </c>
      <c r="E5" s="17">
        <f>B5+E4</f>
        <v>0</v>
      </c>
      <c r="F5" s="17">
        <f>C5+F4</f>
        <v>0</v>
      </c>
      <c r="G5" s="17">
        <f>D5+G4</f>
        <v>0</v>
      </c>
      <c r="H5" s="31"/>
    </row>
    <row r="6" ht="20.05" customHeight="1">
      <c r="A6" s="30">
        <v>2001</v>
      </c>
      <c r="B6" s="16"/>
      <c r="C6" s="17"/>
      <c r="D6" s="17">
        <f>B6+C6</f>
        <v>0</v>
      </c>
      <c r="E6" s="17">
        <f>B6+E5</f>
        <v>0</v>
      </c>
      <c r="F6" s="17">
        <f>C6+F5</f>
        <v>0</v>
      </c>
      <c r="G6" s="17">
        <f>D6+G5</f>
        <v>0</v>
      </c>
      <c r="H6" s="31"/>
    </row>
    <row r="7" ht="20.05" customHeight="1">
      <c r="A7" s="30">
        <v>2002</v>
      </c>
      <c r="B7" s="16"/>
      <c r="C7" s="17"/>
      <c r="D7" s="17">
        <f>B7+C7</f>
        <v>0</v>
      </c>
      <c r="E7" s="17">
        <f>B7+E6</f>
        <v>0</v>
      </c>
      <c r="F7" s="17">
        <f>C7+F6</f>
        <v>0</v>
      </c>
      <c r="G7" s="17">
        <f>D7+G6</f>
        <v>0</v>
      </c>
      <c r="H7" s="20">
        <f>H6+4</f>
        <v>4</v>
      </c>
    </row>
    <row r="8" ht="20.05" customHeight="1">
      <c r="A8" s="30">
        <v>2003</v>
      </c>
      <c r="B8" s="16"/>
      <c r="C8" s="17"/>
      <c r="D8" s="17">
        <f>B8+C8</f>
        <v>0</v>
      </c>
      <c r="E8" s="17">
        <f>B8+E7</f>
        <v>0</v>
      </c>
      <c r="F8" s="17">
        <f>C8+F7</f>
        <v>0</v>
      </c>
      <c r="G8" s="17">
        <f>D8+G7</f>
        <v>0</v>
      </c>
      <c r="H8" s="20">
        <f>H7+4</f>
        <v>8</v>
      </c>
    </row>
    <row r="9" ht="20.05" customHeight="1">
      <c r="A9" s="30">
        <v>2004</v>
      </c>
      <c r="B9" s="16"/>
      <c r="C9" s="17"/>
      <c r="D9" s="17">
        <f>B9+C9</f>
        <v>0</v>
      </c>
      <c r="E9" s="17">
        <f>B9+E8</f>
        <v>0</v>
      </c>
      <c r="F9" s="17">
        <f>C9+F8</f>
        <v>0</v>
      </c>
      <c r="G9" s="17">
        <f>D9+G8</f>
        <v>0</v>
      </c>
      <c r="H9" s="20">
        <f>H8+4</f>
        <v>12</v>
      </c>
    </row>
    <row r="10" ht="20.05" customHeight="1">
      <c r="A10" s="30">
        <v>2005</v>
      </c>
      <c r="B10" s="16"/>
      <c r="C10" s="17"/>
      <c r="D10" s="17">
        <f>B10+C10</f>
        <v>0</v>
      </c>
      <c r="E10" s="17">
        <f>B10+E9</f>
        <v>0</v>
      </c>
      <c r="F10" s="17">
        <f>C10+F9</f>
        <v>0</v>
      </c>
      <c r="G10" s="17">
        <f>D10+G9</f>
        <v>0</v>
      </c>
      <c r="H10" s="20">
        <f>H9+4</f>
        <v>16</v>
      </c>
    </row>
    <row r="11" ht="20.05" customHeight="1">
      <c r="A11" s="30">
        <v>2006</v>
      </c>
      <c r="B11" s="16"/>
      <c r="C11" s="17"/>
      <c r="D11" s="17">
        <f>B11+C11</f>
        <v>0</v>
      </c>
      <c r="E11" s="17">
        <f>B11+E10</f>
        <v>0</v>
      </c>
      <c r="F11" s="17">
        <f>C11+F10</f>
        <v>0</v>
      </c>
      <c r="G11" s="17">
        <f>D11+G10</f>
        <v>0</v>
      </c>
      <c r="H11" s="20">
        <f>H10+4</f>
        <v>20</v>
      </c>
    </row>
    <row r="12" ht="20.05" customHeight="1">
      <c r="A12" s="30">
        <v>2007</v>
      </c>
      <c r="B12" s="16"/>
      <c r="C12" s="17"/>
      <c r="D12" s="17">
        <f>B12+C12</f>
        <v>0</v>
      </c>
      <c r="E12" s="17">
        <f>B12+E11</f>
        <v>0</v>
      </c>
      <c r="F12" s="17">
        <f>C12+F11</f>
        <v>0</v>
      </c>
      <c r="G12" s="17">
        <f>D12+G11</f>
        <v>0</v>
      </c>
      <c r="H12" s="20">
        <f>H11+4</f>
        <v>24</v>
      </c>
    </row>
    <row r="13" ht="20.05" customHeight="1">
      <c r="A13" s="30">
        <v>2008</v>
      </c>
      <c r="B13" s="16"/>
      <c r="C13" s="17"/>
      <c r="D13" s="17">
        <f>B13+C13</f>
        <v>0</v>
      </c>
      <c r="E13" s="17">
        <f>B13+E12</f>
        <v>0</v>
      </c>
      <c r="F13" s="17">
        <f>C13+F12</f>
        <v>0</v>
      </c>
      <c r="G13" s="17">
        <f>D13+G12</f>
        <v>0</v>
      </c>
      <c r="H13" s="20">
        <f>H12+4</f>
        <v>28</v>
      </c>
    </row>
    <row r="14" ht="20.05" customHeight="1">
      <c r="A14" s="30">
        <v>2009</v>
      </c>
      <c r="B14" s="16"/>
      <c r="C14" s="17"/>
      <c r="D14" s="17">
        <f>B14+C14</f>
        <v>0</v>
      </c>
      <c r="E14" s="17">
        <f>B14+E13</f>
        <v>0</v>
      </c>
      <c r="F14" s="17">
        <f>C14+F13</f>
        <v>0</v>
      </c>
      <c r="G14" s="17">
        <f>D14+G13</f>
        <v>0</v>
      </c>
      <c r="H14" s="20">
        <f>H13+4</f>
        <v>32</v>
      </c>
    </row>
    <row r="15" ht="20.05" customHeight="1">
      <c r="A15" s="30">
        <v>2010</v>
      </c>
      <c r="B15" s="16"/>
      <c r="C15" s="17"/>
      <c r="D15" s="17">
        <f>B15+C15</f>
        <v>0</v>
      </c>
      <c r="E15" s="17">
        <f>B15+E14</f>
        <v>0</v>
      </c>
      <c r="F15" s="17">
        <f>C15+F14</f>
        <v>0</v>
      </c>
      <c r="G15" s="17">
        <f>D15+G14</f>
        <v>0</v>
      </c>
      <c r="H15" s="20">
        <f>H14+4</f>
        <v>36</v>
      </c>
    </row>
    <row r="16" ht="20.05" customHeight="1">
      <c r="A16" s="30">
        <v>2011</v>
      </c>
      <c r="B16" s="16"/>
      <c r="C16" s="17"/>
      <c r="D16" s="17">
        <f>B16+C16</f>
        <v>0</v>
      </c>
      <c r="E16" s="17">
        <f>B16+E15</f>
        <v>0</v>
      </c>
      <c r="F16" s="17">
        <f>C16+F15</f>
        <v>0</v>
      </c>
      <c r="G16" s="17">
        <f>D16+G15</f>
        <v>0</v>
      </c>
      <c r="H16" s="20">
        <f>H15+4</f>
        <v>40</v>
      </c>
    </row>
    <row r="17" ht="20.05" customHeight="1">
      <c r="A17" s="30">
        <v>2012</v>
      </c>
      <c r="B17" s="16"/>
      <c r="C17" s="17"/>
      <c r="D17" s="17">
        <f>B17+C17</f>
        <v>0</v>
      </c>
      <c r="E17" s="17">
        <f>B17+E16</f>
        <v>0</v>
      </c>
      <c r="F17" s="17">
        <f>C17+F16</f>
        <v>0</v>
      </c>
      <c r="G17" s="17">
        <f>D17+G16</f>
        <v>0</v>
      </c>
      <c r="H17" s="20">
        <f>H16+4</f>
        <v>44</v>
      </c>
    </row>
    <row r="18" ht="20.05" customHeight="1">
      <c r="A18" s="30">
        <v>2013</v>
      </c>
      <c r="B18" s="16"/>
      <c r="C18" s="17"/>
      <c r="D18" s="17">
        <f>B18+C18</f>
        <v>0</v>
      </c>
      <c r="E18" s="17">
        <f>B18+E17</f>
        <v>0</v>
      </c>
      <c r="F18" s="17">
        <f>C18+F17</f>
        <v>0</v>
      </c>
      <c r="G18" s="17">
        <f>D18+G17</f>
        <v>0</v>
      </c>
      <c r="H18" s="20">
        <f>H17+4</f>
        <v>48</v>
      </c>
    </row>
    <row r="19" ht="20.05" customHeight="1">
      <c r="A19" s="30">
        <v>2014</v>
      </c>
      <c r="B19" s="16"/>
      <c r="C19" s="17"/>
      <c r="D19" s="17">
        <f>B19+C19</f>
        <v>0</v>
      </c>
      <c r="E19" s="17">
        <f>B19+E18</f>
        <v>0</v>
      </c>
      <c r="F19" s="17">
        <f>C19+F18</f>
        <v>0</v>
      </c>
      <c r="G19" s="17">
        <f>D19+G18</f>
        <v>0</v>
      </c>
      <c r="H19" s="20">
        <f>H18+4</f>
        <v>52</v>
      </c>
    </row>
    <row r="20" ht="20.05" customHeight="1">
      <c r="A20" s="30">
        <v>2015</v>
      </c>
      <c r="B20" s="16"/>
      <c r="C20" s="17"/>
      <c r="D20" s="17">
        <f>B20+C20</f>
        <v>0</v>
      </c>
      <c r="E20" s="17">
        <f>B20+E19</f>
        <v>0</v>
      </c>
      <c r="F20" s="17">
        <f>C20+F19</f>
        <v>0</v>
      </c>
      <c r="G20" s="17">
        <f>D20+G19</f>
        <v>0</v>
      </c>
      <c r="H20" s="20">
        <f>H19+4</f>
        <v>56</v>
      </c>
    </row>
    <row r="21" ht="20.05" customHeight="1">
      <c r="A21" s="30">
        <v>2016</v>
      </c>
      <c r="B21" s="16"/>
      <c r="C21" s="17"/>
      <c r="D21" s="17">
        <f>B21+C21</f>
        <v>0</v>
      </c>
      <c r="E21" s="17">
        <f>B21+E20</f>
        <v>0</v>
      </c>
      <c r="F21" s="17">
        <f>C21+F20</f>
        <v>0</v>
      </c>
      <c r="G21" s="17">
        <f>D21+G20</f>
        <v>0</v>
      </c>
      <c r="H21" s="20">
        <f>H20+4</f>
        <v>60</v>
      </c>
    </row>
    <row r="22" ht="20.05" customHeight="1">
      <c r="A22" s="30">
        <v>2017</v>
      </c>
      <c r="B22" s="16"/>
      <c r="C22" s="31"/>
      <c r="D22" s="17">
        <f>B22+C22</f>
        <v>0</v>
      </c>
      <c r="E22" s="17">
        <f>B22+E21</f>
        <v>0</v>
      </c>
      <c r="F22" s="17">
        <f>C22+F21</f>
        <v>0</v>
      </c>
      <c r="G22" s="17">
        <f>D22+G21</f>
        <v>0</v>
      </c>
      <c r="H22" s="20">
        <f>H21+4</f>
        <v>64</v>
      </c>
    </row>
    <row r="23" ht="20.05" customHeight="1">
      <c r="A23" s="30">
        <v>2018</v>
      </c>
      <c r="B23" s="16"/>
      <c r="C23" s="17"/>
      <c r="D23" s="17">
        <f>B23+C23</f>
        <v>0</v>
      </c>
      <c r="E23" s="17">
        <f>B23+E22</f>
        <v>0</v>
      </c>
      <c r="F23" s="17">
        <f>C23+F22</f>
        <v>0</v>
      </c>
      <c r="G23" s="17">
        <f>D23+G22</f>
        <v>0</v>
      </c>
      <c r="H23" s="20">
        <f>H22+4</f>
        <v>68</v>
      </c>
    </row>
    <row r="24" ht="20.05" customHeight="1">
      <c r="A24" s="30">
        <v>2019</v>
      </c>
      <c r="B24" s="16"/>
      <c r="C24" s="17"/>
      <c r="D24" s="17">
        <f>B24+C24</f>
        <v>0</v>
      </c>
      <c r="E24" s="17">
        <f>B24+E23</f>
        <v>0</v>
      </c>
      <c r="F24" s="17">
        <f>C24+F23</f>
        <v>0</v>
      </c>
      <c r="G24" s="17">
        <f>D24+G23</f>
        <v>0</v>
      </c>
      <c r="H24" s="20">
        <f>H23+4</f>
        <v>72</v>
      </c>
    </row>
    <row r="25" ht="20.05" customHeight="1">
      <c r="A25" s="30">
        <v>2020</v>
      </c>
      <c r="B25" s="16"/>
      <c r="C25" s="17"/>
      <c r="D25" s="17">
        <f>B25+C25</f>
        <v>0</v>
      </c>
      <c r="E25" s="17">
        <f>B25+E24</f>
        <v>0</v>
      </c>
      <c r="F25" s="17">
        <f>C25+F24</f>
        <v>0</v>
      </c>
      <c r="G25" s="17">
        <f>D25+G24</f>
        <v>0</v>
      </c>
      <c r="H25" s="20">
        <f>H24+4</f>
        <v>76</v>
      </c>
    </row>
    <row r="26" ht="20.05" customHeight="1">
      <c r="A26" s="30">
        <v>2021</v>
      </c>
      <c r="B26" s="16"/>
      <c r="C26" s="17"/>
      <c r="D26" s="17">
        <f>B26+C26</f>
        <v>0</v>
      </c>
      <c r="E26" s="17">
        <f>B26+E25</f>
        <v>0</v>
      </c>
      <c r="F26" s="17">
        <f>C26+F25</f>
        <v>0</v>
      </c>
      <c r="G26" s="17">
        <f>D26+G25</f>
        <v>0</v>
      </c>
      <c r="H26" s="20">
        <f>H25+4</f>
        <v>80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