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 Cashflow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<sst xmlns="http://schemas.openxmlformats.org/spreadsheetml/2006/main" uniqueCount="67">
  <si>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</si>
  <si>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</si>
  <si>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</si>
  <si>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</si>
  <si>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</si>
  <si>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</si>
  <si>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</si>
  <si>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</si>
  <si>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</si>
  <si>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</si>
  <si>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</si>
  <si>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Payout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</si>
  <si>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</si>
  <si>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</si>
  <si>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</si>
  <si>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</si>
  <si>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</si>
  <si>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</si>
  <si>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</si>
  <si>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Depreciation </t>
  </si>
  <si>
    <t>Provision</t>
  </si>
  <si>
    <t xml:space="preserve">Net profit </t>
  </si>
  <si>
    <t>Balance sheet</t>
  </si>
  <si>
    <t>Other assets</t>
  </si>
  <si>
    <t>Net other assets</t>
  </si>
  <si>
    <t xml:space="preserve">Liabilities </t>
  </si>
  <si>
    <t xml:space="preserve">Equity </t>
  </si>
  <si>
    <t xml:space="preserve">Check </t>
  </si>
  <si>
    <t xml:space="preserve">Valuation </t>
  </si>
  <si>
    <t xml:space="preserve">Capital </t>
  </si>
  <si>
    <t xml:space="preserve">Current value </t>
  </si>
  <si>
    <t>P/assets</t>
  </si>
  <si>
    <t>Yield</t>
  </si>
  <si>
    <t>Cashfkow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</si>
  <si>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</si>
  <si>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</si>
  <si>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</si>
  <si>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</si>
  <si>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</si>
  <si>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</si>
  <si>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</si>
  <si>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</si>
  <si>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Forecast</t>
  </si>
  <si>
    <t xml:space="preserve">Net income </t>
  </si>
  <si>
    <t>Sales to assets ratio</t>
  </si>
  <si>
    <t xml:space="preserve">Sales growth </t>
  </si>
  <si>
    <t xml:space="preserve">Cost ratio </t>
  </si>
  <si>
    <t>Receipts</t>
  </si>
  <si>
    <t>Costs</t>
  </si>
  <si>
    <t>Operating before working capital</t>
  </si>
  <si>
    <t xml:space="preserve">Operating </t>
  </si>
  <si>
    <t xml:space="preserve">Investing </t>
  </si>
  <si>
    <t>Fee &amp; lease</t>
  </si>
  <si>
    <t xml:space="preserve">Free cashflow </t>
  </si>
  <si>
    <t>Capital</t>
  </si>
  <si>
    <t xml:space="preserve">  Cash</t>
  </si>
  <si>
    <t xml:space="preserve">Assets </t>
  </si>
  <si>
    <t>Other asset</t>
  </si>
  <si>
    <t>Depreciation</t>
  </si>
  <si>
    <t>Check</t>
  </si>
  <si>
    <t xml:space="preserve">Other assets growth </t>
  </si>
  <si>
    <t>Liabilities growth</t>
  </si>
  <si>
    <t>Net cash</t>
  </si>
  <si>
    <t>Share price</t>
  </si>
  <si>
    <t>MEGA</t>
  </si>
  <si>
    <t xml:space="preserve">Total </t>
  </si>
  <si>
    <t>Total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</si>
</sst>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0%_);[Red]\(0%\)"/>
    <numFmt numFmtId="60" formatCode="#,##0%"/>
    <numFmt numFmtId="61" formatCode="#,##0.0"/>
    <numFmt numFmtId="62" formatCode="#,##0.0%_);[Red]\(#,##0.0%\)"/>
    <numFmt numFmtId="63" formatCode="#,##0.0%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3188"/>
          <c:y val="0.0426778"/>
          <c:w val="0.808362"/>
          <c:h val="0.88639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'!$A$11:$A$27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'Capital '!$E$11:$E$27</c:f>
              <c:numCache>
                <c:ptCount val="17"/>
                <c:pt idx="0">
                  <c:v>0.000000</c:v>
                </c:pt>
                <c:pt idx="1">
                  <c:v>254.000000</c:v>
                </c:pt>
                <c:pt idx="2">
                  <c:v>900.000000</c:v>
                </c:pt>
                <c:pt idx="3">
                  <c:v>779.000000</c:v>
                </c:pt>
                <c:pt idx="4">
                  <c:v>1022.000000</c:v>
                </c:pt>
                <c:pt idx="5">
                  <c:v>1123.000000</c:v>
                </c:pt>
                <c:pt idx="6">
                  <c:v>971.000000</c:v>
                </c:pt>
                <c:pt idx="7">
                  <c:v>-100.000000</c:v>
                </c:pt>
                <c:pt idx="8">
                  <c:v>-128.000000</c:v>
                </c:pt>
                <c:pt idx="9">
                  <c:v>988.000000</c:v>
                </c:pt>
                <c:pt idx="10">
                  <c:v>318.000000</c:v>
                </c:pt>
                <c:pt idx="11">
                  <c:v>-85.000000</c:v>
                </c:pt>
                <c:pt idx="12">
                  <c:v>-229.000000</c:v>
                </c:pt>
                <c:pt idx="13">
                  <c:v>-229.000000</c:v>
                </c:pt>
                <c:pt idx="14">
                  <c:v>102.000000</c:v>
                </c:pt>
                <c:pt idx="15">
                  <c:v>-175.000000</c:v>
                </c:pt>
                <c:pt idx="16">
                  <c:v>-460.000000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'!$A$11:$A$27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'Capital '!$F$11:$F$27</c:f>
              <c:numCache>
                <c:ptCount val="17"/>
                <c:pt idx="0">
                  <c:v>0.000000</c:v>
                </c:pt>
                <c:pt idx="1">
                  <c:v>0.000000</c:v>
                </c:pt>
                <c:pt idx="2">
                  <c:v>-104.000000</c:v>
                </c:pt>
                <c:pt idx="3">
                  <c:v>-104.000000</c:v>
                </c:pt>
                <c:pt idx="4">
                  <c:v>-104.000000</c:v>
                </c:pt>
                <c:pt idx="5">
                  <c:v>-604.000000</c:v>
                </c:pt>
                <c:pt idx="6">
                  <c:v>-604.000000</c:v>
                </c:pt>
                <c:pt idx="7">
                  <c:v>-1297.000000</c:v>
                </c:pt>
                <c:pt idx="8">
                  <c:v>-1297.000000</c:v>
                </c:pt>
                <c:pt idx="9">
                  <c:v>-1397.000000</c:v>
                </c:pt>
                <c:pt idx="10">
                  <c:v>-1923.000000</c:v>
                </c:pt>
                <c:pt idx="11">
                  <c:v>-2502.000000</c:v>
                </c:pt>
                <c:pt idx="12">
                  <c:v>-3152.000000</c:v>
                </c:pt>
                <c:pt idx="13">
                  <c:v>-3952.000000</c:v>
                </c:pt>
                <c:pt idx="14">
                  <c:v>-4953.000000</c:v>
                </c:pt>
                <c:pt idx="15">
                  <c:v>-7053.000000</c:v>
                </c:pt>
                <c:pt idx="16">
                  <c:v>-9853.000000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'!$A$11:$A$27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'Capital '!$G$11:$G$27</c:f>
              <c:numCache>
                <c:ptCount val="17"/>
                <c:pt idx="0">
                  <c:v>0.000000</c:v>
                </c:pt>
                <c:pt idx="1">
                  <c:v>254.000000</c:v>
                </c:pt>
                <c:pt idx="2">
                  <c:v>796.000000</c:v>
                </c:pt>
                <c:pt idx="3">
                  <c:v>675.000000</c:v>
                </c:pt>
                <c:pt idx="4">
                  <c:v>918.000000</c:v>
                </c:pt>
                <c:pt idx="5">
                  <c:v>519.000000</c:v>
                </c:pt>
                <c:pt idx="6">
                  <c:v>367.000000</c:v>
                </c:pt>
                <c:pt idx="7">
                  <c:v>-1397.000000</c:v>
                </c:pt>
                <c:pt idx="8">
                  <c:v>-1425.000000</c:v>
                </c:pt>
                <c:pt idx="9">
                  <c:v>-409.000000</c:v>
                </c:pt>
                <c:pt idx="10">
                  <c:v>-1605.000000</c:v>
                </c:pt>
                <c:pt idx="11">
                  <c:v>-2587.000000</c:v>
                </c:pt>
                <c:pt idx="12">
                  <c:v>-3381.000000</c:v>
                </c:pt>
                <c:pt idx="13">
                  <c:v>-4181.000000</c:v>
                </c:pt>
                <c:pt idx="14">
                  <c:v>-4851.000000</c:v>
                </c:pt>
                <c:pt idx="15">
                  <c:v>-7228.000000</c:v>
                </c:pt>
                <c:pt idx="16">
                  <c:v>-10313.000000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750"/>
        <c:minorUnit val="18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2516"/>
          <c:y val="0.429733"/>
          <c:w val="0.302082"/>
          <c:h val="0.1530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319133</xdr:colOff>
      <xdr:row>0</xdr:row>
      <xdr:rowOff>336667</xdr:rowOff>
    </xdr:from>
    <xdr:to>
      <xdr:col>12</xdr:col>
      <xdr:colOff>1115716</xdr:colOff>
      <xdr:row>45</xdr:row>
      <xdr:rowOff>136870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22833" y="336667"/>
          <a:ext cx="8264183" cy="113838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486756</xdr:colOff>
      <xdr:row>38</xdr:row>
      <xdr:rowOff>146449</xdr:rowOff>
    </xdr:from>
    <xdr:to>
      <xdr:col>4</xdr:col>
      <xdr:colOff>819625</xdr:colOff>
      <xdr:row>52</xdr:row>
      <xdr:rowOff>95852</xdr:rowOff>
    </xdr:to>
    <xdr:graphicFrame>
      <xdr:nvGraphicFramePr>
        <xdr:cNvPr id="4" name="2D Line Chart"/>
        <xdr:cNvGraphicFramePr/>
      </xdr:nvGraphicFramePr>
      <xdr:xfrm>
        <a:off x="486756" y="9903224"/>
        <a:ext cx="3838069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251808</xdr:colOff>
      <xdr:row>35</xdr:row>
      <xdr:rowOff>7097</xdr:rowOff>
    </xdr:from>
    <xdr:to>
      <xdr:col>5</xdr:col>
      <xdr:colOff>618645</xdr:colOff>
      <xdr:row>38</xdr:row>
      <xdr:rowOff>231458</xdr:rowOff>
    </xdr:to>
    <xdr:sp>
      <xdr:nvSpPr>
        <xdr:cNvPr id="5" name="MEGA HAS RAPIDLY PAID OUT -7.2 TRILLION RUPIAH"/>
        <xdr:cNvSpPr txBox="1"/>
      </xdr:nvSpPr>
      <xdr:spPr>
        <a:xfrm>
          <a:off x="251808" y="9005682"/>
          <a:ext cx="4748338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MEGA HAS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RAPIDLY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PAID OUT -7.2 TRILLION RUPIAH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45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3.01562" style="1" customWidth="1"/>
    <col min="2" max="2" width="14.7656" style="1" customWidth="1"/>
    <col min="3" max="6" width="9.41406" style="1" customWidth="1"/>
    <col min="7" max="16384" width="16.3516" style="1" customWidth="1"/>
  </cols>
  <sheetData>
    <row r="1" ht="27.65" customHeight="1">
      <c r="B1" t="s" s="2">
        <v>0</v>
      </c>
      <c r="C1" s="2"/>
      <c r="D1" s="2"/>
      <c r="E1" s="2"/>
      <c r="F1" s="2"/>
    </row>
    <row r="2" ht="20.05" customHeight="1">
      <c r="B2" t="s" s="3">
        <v>1</v>
      </c>
      <c r="C2" s="4"/>
      <c r="D2" s="4"/>
      <c r="E2" t="s" s="5">
        <v>2</v>
      </c>
      <c r="F2" s="4"/>
    </row>
    <row r="3" ht="20.3" customHeight="1">
      <c r="B3" t="s" s="6">
        <v>3</v>
      </c>
      <c r="C3" s="7">
        <f>AVERAGE('Sales'!I13:I16)</f>
        <v>0.00679087558966813</v>
      </c>
      <c r="D3" s="8"/>
      <c r="E3" s="8"/>
      <c r="F3" s="8">
        <f>AVERAGE(C4:F4)</f>
        <v>0.0275</v>
      </c>
    </row>
    <row r="4" ht="20.1" customHeight="1">
      <c r="B4" t="s" s="9">
        <v>4</v>
      </c>
      <c r="C4" s="10">
        <v>-0.01</v>
      </c>
      <c r="D4" s="11">
        <v>0.02</v>
      </c>
      <c r="E4" s="11">
        <v>0.05</v>
      </c>
      <c r="F4" s="11">
        <v>0.05</v>
      </c>
    </row>
    <row r="5" ht="20.1" customHeight="1">
      <c r="B5" t="s" s="9">
        <v>5</v>
      </c>
      <c r="C5" s="12">
        <f>'Sales'!C16*(1+C4)</f>
        <v>2333.133</v>
      </c>
      <c r="D5" s="13">
        <f>C5*(1+D4)</f>
        <v>2379.79566</v>
      </c>
      <c r="E5" s="13">
        <f>D5*(1+E4)</f>
        <v>2498.785443</v>
      </c>
      <c r="F5" s="13">
        <f>E5*(1+F4)</f>
        <v>2623.72471515</v>
      </c>
    </row>
    <row r="6" ht="20.1" customHeight="1">
      <c r="B6" t="s" s="9">
        <v>6</v>
      </c>
      <c r="C6" s="14">
        <f>AVERAGE('Sales'!K16)</f>
        <v>-0.578119830056645</v>
      </c>
      <c r="D6" s="15">
        <f>C6</f>
        <v>-0.578119830056645</v>
      </c>
      <c r="E6" s="15">
        <f>D6</f>
        <v>-0.578119830056645</v>
      </c>
      <c r="F6" s="15">
        <f>E6</f>
        <v>-0.578119830056645</v>
      </c>
    </row>
    <row r="7" ht="20.1" customHeight="1">
      <c r="B7" t="s" s="9">
        <v>7</v>
      </c>
      <c r="C7" s="16">
        <f>C6*C5</f>
        <v>-1348.830453459550</v>
      </c>
      <c r="D7" s="17">
        <f>D6*D5</f>
        <v>-1375.807062528740</v>
      </c>
      <c r="E7" s="17">
        <f>E6*E5</f>
        <v>-1444.597415655180</v>
      </c>
      <c r="F7" s="17">
        <f>F6*F5</f>
        <v>-1516.827286437940</v>
      </c>
    </row>
    <row r="8" ht="20.1" customHeight="1">
      <c r="B8" t="s" s="9">
        <v>8</v>
      </c>
      <c r="C8" s="16">
        <f>C5+C7</f>
        <v>984.302546540450</v>
      </c>
      <c r="D8" s="17">
        <f>D5+D7</f>
        <v>1003.988597471260</v>
      </c>
      <c r="E8" s="17">
        <f>E5+E7</f>
        <v>1054.188027344820</v>
      </c>
      <c r="F8" s="17">
        <f>F5+F7</f>
        <v>1106.897428712060</v>
      </c>
    </row>
    <row r="9" ht="20.05" customHeight="1">
      <c r="B9" t="s" s="9">
        <v>9</v>
      </c>
      <c r="C9" s="16">
        <f>AVERAGE(' Cashflow'!G5)</f>
        <v>-266</v>
      </c>
      <c r="D9" s="17">
        <f>C9</f>
        <v>-266</v>
      </c>
      <c r="E9" s="17">
        <f>D9</f>
        <v>-266</v>
      </c>
      <c r="F9" s="17">
        <f>E9</f>
        <v>-266</v>
      </c>
    </row>
    <row r="10" ht="20.1" customHeight="1">
      <c r="B10" t="s" s="9">
        <v>10</v>
      </c>
      <c r="C10" s="16">
        <f>C12+C14</f>
        <v>-260.970763962135</v>
      </c>
      <c r="D10" s="17">
        <f>D12+D14</f>
        <v>-266.876579241378</v>
      </c>
      <c r="E10" s="17">
        <f>E12+E14</f>
        <v>-281.936408203446</v>
      </c>
      <c r="F10" s="17">
        <f>F12+F14</f>
        <v>-297.749228613618</v>
      </c>
    </row>
    <row r="11" ht="20.1" customHeight="1">
      <c r="B11" t="s" s="9">
        <v>11</v>
      </c>
      <c r="C11" s="18">
        <v>0.3</v>
      </c>
      <c r="D11" s="17"/>
      <c r="E11" s="17"/>
      <c r="F11" s="17"/>
    </row>
    <row r="12" ht="20.1" customHeight="1">
      <c r="B12" t="s" s="9">
        <v>12</v>
      </c>
      <c r="C12" s="16">
        <f>IF(C21&gt;0,-C21*$C$11,0)</f>
        <v>-260.970763962135</v>
      </c>
      <c r="D12" s="17">
        <f>IF(D21&gt;0,-D21*$C$11,0)</f>
        <v>-266.876579241378</v>
      </c>
      <c r="E12" s="17">
        <f>IF(E21&gt;0,-E21*$C$11,0)</f>
        <v>-281.936408203446</v>
      </c>
      <c r="F12" s="17">
        <f>IF(F21&gt;0,-F21*$C$11,0)</f>
        <v>-297.749228613618</v>
      </c>
    </row>
    <row r="13" ht="20.05" customHeight="1">
      <c r="B13" t="s" s="9">
        <v>13</v>
      </c>
      <c r="C13" s="16">
        <f>C8+C9+C12</f>
        <v>457.331782578315</v>
      </c>
      <c r="D13" s="17">
        <f>D8+D9+D12</f>
        <v>471.112018229882</v>
      </c>
      <c r="E13" s="17">
        <f>E8+E9+E12</f>
        <v>506.251619141374</v>
      </c>
      <c r="F13" s="17">
        <f>F8+F9+F12</f>
        <v>543.148200098442</v>
      </c>
    </row>
    <row r="14" ht="20.1" customHeight="1">
      <c r="B14" t="s" s="9">
        <v>14</v>
      </c>
      <c r="C14" s="16">
        <f>-MIN(0,C13)</f>
        <v>0</v>
      </c>
      <c r="D14" s="17">
        <f>-MIN(C27,D13)</f>
        <v>0</v>
      </c>
      <c r="E14" s="17">
        <f>-MIN(D27,E13)</f>
        <v>0</v>
      </c>
      <c r="F14" s="17">
        <f>-MIN(E27,F13)</f>
        <v>0</v>
      </c>
    </row>
    <row r="15" ht="20.1" customHeight="1">
      <c r="B15" t="s" s="9">
        <v>15</v>
      </c>
      <c r="C15" s="16">
        <f>'Balance Sheet '!C16</f>
        <v>10653.6</v>
      </c>
      <c r="D15" s="17">
        <f>C17</f>
        <v>11110.9317825783</v>
      </c>
      <c r="E15" s="17">
        <f>D17</f>
        <v>11582.0438008082</v>
      </c>
      <c r="F15" s="17">
        <f>E17</f>
        <v>12088.2954199496</v>
      </c>
    </row>
    <row r="16" ht="20.1" customHeight="1">
      <c r="B16" t="s" s="9">
        <v>16</v>
      </c>
      <c r="C16" s="16">
        <f>C8+C9+C10</f>
        <v>457.331782578315</v>
      </c>
      <c r="D16" s="17">
        <f>D8+D9+D10</f>
        <v>471.112018229882</v>
      </c>
      <c r="E16" s="17">
        <f>E8+E9+E10</f>
        <v>506.251619141374</v>
      </c>
      <c r="F16" s="17">
        <f>F8+F9+F10</f>
        <v>543.148200098442</v>
      </c>
    </row>
    <row r="17" ht="20.1" customHeight="1">
      <c r="B17" t="s" s="9">
        <v>17</v>
      </c>
      <c r="C17" s="16">
        <f>C15+C16</f>
        <v>11110.9317825783</v>
      </c>
      <c r="D17" s="17">
        <f>D15+D16</f>
        <v>11582.0438008082</v>
      </c>
      <c r="E17" s="17">
        <f>E15+E16</f>
        <v>12088.2954199496</v>
      </c>
      <c r="F17" s="17">
        <f>F15+F16</f>
        <v>12631.443620048</v>
      </c>
    </row>
    <row r="18" ht="20.1" customHeight="1">
      <c r="B18" t="s" s="19">
        <v>18</v>
      </c>
      <c r="C18" s="20"/>
      <c r="D18" s="21"/>
      <c r="E18" s="21"/>
      <c r="F18" s="21"/>
    </row>
    <row r="19" ht="20.1" customHeight="1">
      <c r="B19" t="s" s="9">
        <v>19</v>
      </c>
      <c r="C19" s="16">
        <f>-AVERAGE('Sales'!F16)</f>
        <v>-68.2</v>
      </c>
      <c r="D19" s="17">
        <f>C19</f>
        <v>-68.2</v>
      </c>
      <c r="E19" s="17">
        <f>D19</f>
        <v>-68.2</v>
      </c>
      <c r="F19" s="17">
        <f>E19</f>
        <v>-68.2</v>
      </c>
    </row>
    <row r="20" ht="20.1" customHeight="1">
      <c r="B20" t="s" s="9">
        <v>20</v>
      </c>
      <c r="C20" s="16">
        <f>-AVERAGE('Sales'!E16)</f>
        <v>-46.2</v>
      </c>
      <c r="D20" s="17">
        <f>C20</f>
        <v>-46.2</v>
      </c>
      <c r="E20" s="17">
        <f>D20</f>
        <v>-46.2</v>
      </c>
      <c r="F20" s="17">
        <f>E20</f>
        <v>-46.2</v>
      </c>
    </row>
    <row r="21" ht="20.1" customHeight="1">
      <c r="B21" t="s" s="9">
        <v>21</v>
      </c>
      <c r="C21" s="16">
        <f>C5+C7+C19+C20</f>
        <v>869.902546540450</v>
      </c>
      <c r="D21" s="17">
        <f>D5+D7+D19+D20</f>
        <v>889.588597471260</v>
      </c>
      <c r="E21" s="17">
        <f>E5+E7+E19+E20</f>
        <v>939.788027344820</v>
      </c>
      <c r="F21" s="17">
        <f>F5+F7+F19+F20</f>
        <v>992.497428712060</v>
      </c>
    </row>
    <row r="22" ht="20.1" customHeight="1">
      <c r="B22" t="s" s="19">
        <v>22</v>
      </c>
      <c r="C22" s="20"/>
      <c r="D22" s="21"/>
      <c r="E22" s="21"/>
      <c r="F22" s="21"/>
    </row>
    <row r="23" ht="20.1" customHeight="1">
      <c r="B23" t="s" s="9">
        <v>23</v>
      </c>
      <c r="C23" s="16">
        <f>'Balance Sheet '!E16+'Balance Sheet '!F16-C9</f>
        <v>104802.4</v>
      </c>
      <c r="D23" s="17">
        <f>C23-D9</f>
        <v>105068.4</v>
      </c>
      <c r="E23" s="17">
        <f>D23-E9</f>
        <v>105334.4</v>
      </c>
      <c r="F23" s="17">
        <f>E23-F9</f>
        <v>105600.4</v>
      </c>
    </row>
    <row r="24" ht="20.1" customHeight="1">
      <c r="B24" t="s" s="9">
        <v>19</v>
      </c>
      <c r="C24" s="16">
        <f>'Balance Sheet '!F16-C19-C20</f>
        <v>2109.4</v>
      </c>
      <c r="D24" s="17">
        <f>C24-D19-D20</f>
        <v>2223.8</v>
      </c>
      <c r="E24" s="17">
        <f>D24-E19-E20</f>
        <v>2338.2</v>
      </c>
      <c r="F24" s="17">
        <f>E24-F19-F20</f>
        <v>2452.6</v>
      </c>
    </row>
    <row r="25" ht="20.1" customHeight="1">
      <c r="B25" t="s" s="9">
        <v>24</v>
      </c>
      <c r="C25" s="16">
        <f>C23-C24</f>
        <v>102693</v>
      </c>
      <c r="D25" s="17">
        <f>D23-D24</f>
        <v>102844.6</v>
      </c>
      <c r="E25" s="17">
        <f>E23-E24</f>
        <v>102996.2</v>
      </c>
      <c r="F25" s="17">
        <f>F23-F24</f>
        <v>103147.8</v>
      </c>
    </row>
    <row r="26" ht="20.1" customHeight="1">
      <c r="B26" t="s" s="9">
        <v>25</v>
      </c>
      <c r="C26" s="16">
        <f>'Balance Sheet '!G16</f>
        <v>96290</v>
      </c>
      <c r="D26" s="17">
        <f>C26</f>
        <v>96290</v>
      </c>
      <c r="E26" s="17">
        <f>D26</f>
        <v>96290</v>
      </c>
      <c r="F26" s="17">
        <f>E26</f>
        <v>96290</v>
      </c>
    </row>
    <row r="27" ht="20.1" customHeight="1">
      <c r="B27" t="s" s="9">
        <v>14</v>
      </c>
      <c r="C27" s="16">
        <f>C14</f>
        <v>0</v>
      </c>
      <c r="D27" s="17">
        <f>C27+D14</f>
        <v>0</v>
      </c>
      <c r="E27" s="17">
        <f>D27+E14</f>
        <v>0</v>
      </c>
      <c r="F27" s="17">
        <f>E27+F14</f>
        <v>0</v>
      </c>
    </row>
    <row r="28" ht="20.1" customHeight="1">
      <c r="B28" t="s" s="9">
        <v>26</v>
      </c>
      <c r="C28" s="16">
        <f>'Balance Sheet '!H16+C21+C12</f>
        <v>17513.9317825783</v>
      </c>
      <c r="D28" s="17">
        <f>C28+D21+D12</f>
        <v>18136.6438008082</v>
      </c>
      <c r="E28" s="17">
        <f>D28+E21+E12</f>
        <v>18794.4954199496</v>
      </c>
      <c r="F28" s="17">
        <f>E28+F21+F12</f>
        <v>19489.243620048</v>
      </c>
    </row>
    <row r="29" ht="20.1" customHeight="1">
      <c r="B29" t="s" s="9">
        <v>27</v>
      </c>
      <c r="C29" s="16">
        <f>C26+C27+C28-C17-C25</f>
        <v>0</v>
      </c>
      <c r="D29" s="17">
        <f>D26+D27+D28-D17-D25</f>
        <v>0</v>
      </c>
      <c r="E29" s="17">
        <f>E26+E27+E28-E17-E25</f>
        <v>0</v>
      </c>
      <c r="F29" s="17">
        <f>F26+F27+F28-F17-F25</f>
        <v>0</v>
      </c>
    </row>
    <row r="30" ht="20.1" customHeight="1">
      <c r="B30" t="s" s="19">
        <v>28</v>
      </c>
      <c r="C30" s="16"/>
      <c r="D30" s="17"/>
      <c r="E30" s="17"/>
      <c r="F30" s="17"/>
    </row>
    <row r="31" ht="20.1" customHeight="1">
      <c r="B31" t="s" s="9">
        <v>29</v>
      </c>
      <c r="C31" s="16">
        <f>' Cashflow'!N16-C10</f>
        <v>7192.970763962140</v>
      </c>
      <c r="D31" s="17">
        <f>C31-D10</f>
        <v>7459.847343203520</v>
      </c>
      <c r="E31" s="17">
        <f>D31-E10</f>
        <v>7741.783751406970</v>
      </c>
      <c r="F31" s="17">
        <f>E31-F10</f>
        <v>8039.532980020590</v>
      </c>
    </row>
    <row r="32" ht="20.1" customHeight="1">
      <c r="B32" t="s" s="9">
        <v>30</v>
      </c>
      <c r="C32" s="16"/>
      <c r="D32" s="17"/>
      <c r="E32" s="17"/>
      <c r="F32" s="17">
        <v>69271312076800</v>
      </c>
    </row>
    <row r="33" ht="20.1" customHeight="1">
      <c r="B33" t="s" s="9">
        <v>30</v>
      </c>
      <c r="C33" s="16"/>
      <c r="D33" s="17"/>
      <c r="E33" s="17"/>
      <c r="F33" s="17">
        <f>F32/1000000000</f>
        <v>69271.312076799994</v>
      </c>
    </row>
    <row r="34" ht="20.1" customHeight="1">
      <c r="B34" t="s" s="9">
        <v>31</v>
      </c>
      <c r="C34" s="16"/>
      <c r="D34" s="17"/>
      <c r="E34" s="17"/>
      <c r="F34" s="22">
        <f>F33/(F17+F25)</f>
        <v>0.598305101250508</v>
      </c>
    </row>
    <row r="35" ht="20.1" customHeight="1">
      <c r="B35" t="s" s="9">
        <v>32</v>
      </c>
      <c r="C35" s="16"/>
      <c r="D35" s="17"/>
      <c r="E35" s="17"/>
      <c r="F35" s="15">
        <f>-(C12+D12+E12+F12)/F33</f>
        <v>0.0159883355290379</v>
      </c>
    </row>
    <row r="36" ht="20.1" customHeight="1">
      <c r="B36" t="s" s="9">
        <v>33</v>
      </c>
      <c r="C36" s="16"/>
      <c r="D36" s="17"/>
      <c r="E36" s="17"/>
      <c r="F36" s="17">
        <f>SUM(C8:F9)</f>
        <v>3085.376600068590</v>
      </c>
    </row>
    <row r="37" ht="20.1" customHeight="1">
      <c r="B37" t="s" s="9">
        <v>28</v>
      </c>
      <c r="C37" s="16"/>
      <c r="D37" s="17"/>
      <c r="E37" s="17"/>
      <c r="F37" s="17">
        <f>F33/F36</f>
        <v>22.4514933040135</v>
      </c>
    </row>
    <row r="38" ht="20.1" customHeight="1">
      <c r="B38" t="s" s="9">
        <v>34</v>
      </c>
      <c r="C38" s="16"/>
      <c r="D38" s="17"/>
      <c r="E38" s="17"/>
      <c r="F38" s="17">
        <v>25</v>
      </c>
    </row>
    <row r="39" ht="20.1" customHeight="1">
      <c r="B39" t="s" s="9">
        <v>35</v>
      </c>
      <c r="C39" s="16"/>
      <c r="D39" s="17"/>
      <c r="E39" s="17"/>
      <c r="F39" s="17">
        <f>F36*F38</f>
        <v>77134.415001714806</v>
      </c>
    </row>
    <row r="40" ht="20.1" customHeight="1">
      <c r="B40" t="s" s="9">
        <v>36</v>
      </c>
      <c r="C40" s="12"/>
      <c r="D40" s="13"/>
      <c r="E40" s="13"/>
      <c r="F40" s="13">
        <f>F33/F42</f>
        <v>11.740900352</v>
      </c>
    </row>
    <row r="41" ht="20.1" customHeight="1">
      <c r="B41" t="s" s="9">
        <v>37</v>
      </c>
      <c r="C41" s="12"/>
      <c r="D41" s="13"/>
      <c r="E41" s="13"/>
      <c r="F41" s="13">
        <f>F39/F40</f>
        <v>6569.7189047836</v>
      </c>
    </row>
    <row r="42" ht="20.1" customHeight="1">
      <c r="B42" t="s" s="9">
        <v>38</v>
      </c>
      <c r="C42" s="12"/>
      <c r="D42" s="13"/>
      <c r="E42" s="13"/>
      <c r="F42" s="13">
        <v>5900</v>
      </c>
    </row>
    <row r="43" ht="20.1" customHeight="1">
      <c r="B43" t="s" s="9">
        <v>39</v>
      </c>
      <c r="C43" s="12"/>
      <c r="D43" s="13"/>
      <c r="E43" s="13"/>
      <c r="F43" s="15">
        <f>F41/F42-1</f>
        <v>0.113511678776881</v>
      </c>
    </row>
    <row r="44" ht="20.1" customHeight="1">
      <c r="B44" t="s" s="9">
        <v>40</v>
      </c>
      <c r="C44" s="12"/>
      <c r="D44" s="13"/>
      <c r="E44" s="13"/>
      <c r="F44" s="15">
        <f>'Sales'!C16/'Sales'!C12-1</f>
        <v>0.00541808873720137</v>
      </c>
    </row>
    <row r="45" ht="20.1" customHeight="1">
      <c r="B45" t="s" s="9">
        <v>41</v>
      </c>
      <c r="C45" s="12"/>
      <c r="D45" s="13"/>
      <c r="E45" s="13"/>
      <c r="F45" s="15">
        <f>'Sales'!F19/'Sales'!E19-1</f>
        <v>0.181261934060339</v>
      </c>
    </row>
  </sheetData>
  <mergeCells count="1">
    <mergeCell ref="B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1719" style="23" customWidth="1"/>
    <col min="2" max="2" width="9.92969" style="23" customWidth="1"/>
    <col min="3" max="5" width="9.30469" style="23" customWidth="1"/>
    <col min="6" max="12" width="10.5312" style="23" customWidth="1"/>
    <col min="13" max="16384" width="16.3516" style="23" customWidth="1"/>
  </cols>
  <sheetData>
    <row r="1" ht="76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44.25" customHeight="1">
      <c r="B3" t="s" s="5">
        <v>1</v>
      </c>
      <c r="C3" t="s" s="5">
        <v>5</v>
      </c>
      <c r="D3" t="s" s="5">
        <v>42</v>
      </c>
      <c r="E3" t="s" s="5">
        <v>20</v>
      </c>
      <c r="F3" t="s" s="5">
        <v>19</v>
      </c>
      <c r="G3" t="s" s="5">
        <v>43</v>
      </c>
      <c r="H3" t="s" s="5">
        <v>44</v>
      </c>
      <c r="I3" t="s" s="5">
        <v>45</v>
      </c>
      <c r="J3" t="s" s="5">
        <v>46</v>
      </c>
      <c r="K3" t="s" s="5">
        <v>46</v>
      </c>
      <c r="L3" t="s" s="5">
        <v>34</v>
      </c>
    </row>
    <row r="4" ht="20.25" customHeight="1">
      <c r="B4" s="24">
        <v>2019</v>
      </c>
      <c r="C4" s="25">
        <f>1778+462</f>
        <v>2240</v>
      </c>
      <c r="D4" s="26"/>
      <c r="E4" s="26">
        <v>53</v>
      </c>
      <c r="F4" s="26"/>
      <c r="G4" s="26">
        <v>485</v>
      </c>
      <c r="H4" s="27">
        <f>C4/'Balance Sheet '!E4</f>
        <v>0.0292558054488938</v>
      </c>
      <c r="I4" s="28"/>
      <c r="J4" s="28">
        <f>(G4+E4-C4+F4)/C4</f>
        <v>-0.759821428571429</v>
      </c>
      <c r="K4" s="28"/>
      <c r="L4" s="28"/>
    </row>
    <row r="5" ht="20.05" customHeight="1">
      <c r="B5" s="29"/>
      <c r="C5" s="16">
        <f>3612+930-C4</f>
        <v>2302</v>
      </c>
      <c r="D5" s="17"/>
      <c r="E5" s="17">
        <f>121-E4</f>
        <v>68</v>
      </c>
      <c r="F5" s="17"/>
      <c r="G5" s="17">
        <f>891-G4</f>
        <v>406</v>
      </c>
      <c r="H5" s="30">
        <f>C5/'Balance Sheet '!E5</f>
        <v>0.0291939329376554</v>
      </c>
      <c r="I5" s="15">
        <f>C5/C4-1</f>
        <v>0.0276785714285714</v>
      </c>
      <c r="J5" s="15">
        <f>(G5+E5-C5+F5)/C5</f>
        <v>-0.794092093831451</v>
      </c>
      <c r="K5" s="15">
        <f>AVERAGE(J3:J5)</f>
        <v>-0.77695676120144</v>
      </c>
      <c r="L5" s="15"/>
    </row>
    <row r="6" ht="20.05" customHeight="1">
      <c r="B6" s="29"/>
      <c r="C6" s="16">
        <f>5511+1368-C5-C4</f>
        <v>2337</v>
      </c>
      <c r="D6" s="17"/>
      <c r="E6" s="17">
        <f>138-E5-E4</f>
        <v>17</v>
      </c>
      <c r="F6" s="17"/>
      <c r="G6" s="17">
        <f>1381-G5-G4</f>
        <v>490</v>
      </c>
      <c r="H6" s="30">
        <f>C6/'Balance Sheet '!E6</f>
        <v>0.0284788145404029</v>
      </c>
      <c r="I6" s="15">
        <f>C6/C5-1</f>
        <v>0.0152041702867072</v>
      </c>
      <c r="J6" s="15">
        <f>(G6+E6-C6+F6)/C6</f>
        <v>-0.783055198973042</v>
      </c>
      <c r="K6" s="15">
        <f>AVERAGE(J3:J6)</f>
        <v>-0.778989573791974</v>
      </c>
      <c r="L6" s="15"/>
    </row>
    <row r="7" ht="20.05" customHeight="1">
      <c r="B7" s="29"/>
      <c r="C7" s="16">
        <f>7454+1922-C6-C5-C4</f>
        <v>2497</v>
      </c>
      <c r="D7" s="17"/>
      <c r="E7" s="17">
        <f>177-E6-E5-E4</f>
        <v>39</v>
      </c>
      <c r="F7" s="17"/>
      <c r="G7" s="17">
        <f>2003-G6-G5-G4</f>
        <v>622</v>
      </c>
      <c r="H7" s="30">
        <f>C7/'Balance Sheet '!E7</f>
        <v>0.0287133608546163</v>
      </c>
      <c r="I7" s="15">
        <f>C7/C6-1</f>
        <v>0.06846384253316221</v>
      </c>
      <c r="J7" s="15">
        <f>(G7+E7-C7+F7)/C7</f>
        <v>-0.735282338806568</v>
      </c>
      <c r="K7" s="15">
        <f>AVERAGE(J4:J7)</f>
        <v>-0.768062765045623</v>
      </c>
      <c r="L7" s="15"/>
    </row>
    <row r="8" ht="20.05" customHeight="1">
      <c r="B8" s="31">
        <v>2020</v>
      </c>
      <c r="C8" s="16">
        <f>2003+411</f>
        <v>2414</v>
      </c>
      <c r="D8" s="17"/>
      <c r="E8" s="17">
        <v>80</v>
      </c>
      <c r="F8" s="17">
        <v>75.25</v>
      </c>
      <c r="G8" s="17">
        <v>669</v>
      </c>
      <c r="H8" s="30">
        <f>C8/'Balance Sheet '!E8</f>
        <v>0.0284938621340888</v>
      </c>
      <c r="I8" s="15">
        <f>C8/C7-1</f>
        <v>-0.0332398878654385</v>
      </c>
      <c r="J8" s="15">
        <f>(G8+E8-C8+F8)/C8</f>
        <v>-0.658554266777133</v>
      </c>
      <c r="K8" s="15">
        <f>AVERAGE(J5:J8)</f>
        <v>-0.7427459745970491</v>
      </c>
      <c r="L8" s="15"/>
    </row>
    <row r="9" ht="20.05" customHeight="1">
      <c r="B9" s="29"/>
      <c r="C9" s="16">
        <f>4027+727-C8</f>
        <v>2340</v>
      </c>
      <c r="D9" s="17"/>
      <c r="E9" s="17">
        <v>0</v>
      </c>
      <c r="F9" s="17">
        <v>75.25</v>
      </c>
      <c r="G9" s="17">
        <f>1182-G8</f>
        <v>513</v>
      </c>
      <c r="H9" s="30">
        <f>C9/'Balance Sheet '!E9</f>
        <v>0.0252647944806141</v>
      </c>
      <c r="I9" s="15">
        <f>C9/C8-1</f>
        <v>-0.0306545153272577</v>
      </c>
      <c r="J9" s="15">
        <f>(G9+E9-C9+F9)/C9</f>
        <v>-0.748611111111111</v>
      </c>
      <c r="K9" s="15">
        <f>AVERAGE(J6:J9)</f>
        <v>-0.731375728916964</v>
      </c>
      <c r="L9" s="15"/>
    </row>
    <row r="10" ht="20.05" customHeight="1">
      <c r="B10" s="29"/>
      <c r="C10" s="16">
        <f>6036+1048-C9-C8</f>
        <v>2330</v>
      </c>
      <c r="D10" s="17"/>
      <c r="E10" s="17">
        <f>68-E9-E8</f>
        <v>-12</v>
      </c>
      <c r="F10" s="17">
        <v>75.25</v>
      </c>
      <c r="G10" s="17">
        <f>1764-G9-G8</f>
        <v>582</v>
      </c>
      <c r="H10" s="30">
        <f>C10/'Balance Sheet '!E10</f>
        <v>0.0235056746532156</v>
      </c>
      <c r="I10" s="15">
        <f>C10/C9-1</f>
        <v>-0.00427350427350427</v>
      </c>
      <c r="J10" s="15">
        <f>(G10+E10-C10+F10)/C10</f>
        <v>-0.7230686695278969</v>
      </c>
      <c r="K10" s="15">
        <f>AVERAGE(J7:J10)</f>
        <v>-0.716379096555677</v>
      </c>
      <c r="L10" s="15"/>
    </row>
    <row r="11" ht="20.05" customHeight="1">
      <c r="B11" s="29"/>
      <c r="C11" s="16">
        <f>8046+1618-SUM(C8:C10)</f>
        <v>2580</v>
      </c>
      <c r="D11" s="17"/>
      <c r="E11" s="17">
        <f>115-SUM(E8:E10)</f>
        <v>47</v>
      </c>
      <c r="F11" s="17">
        <v>75.25</v>
      </c>
      <c r="G11" s="17">
        <f>3008-SUM(G8:G10)</f>
        <v>1244</v>
      </c>
      <c r="H11" s="30">
        <f>C11/'Balance Sheet '!E11</f>
        <v>0.0246863966472429</v>
      </c>
      <c r="I11" s="15">
        <f>C11/C10-1</f>
        <v>0.107296137339056</v>
      </c>
      <c r="J11" s="15">
        <f>(G11+E11-C11+F11)/C11</f>
        <v>-0.470445736434109</v>
      </c>
      <c r="K11" s="15">
        <f>AVERAGE(J8:J11)</f>
        <v>-0.6501699459625629</v>
      </c>
      <c r="L11" s="15"/>
    </row>
    <row r="12" ht="20.05" customHeight="1">
      <c r="B12" s="31">
        <v>2021</v>
      </c>
      <c r="C12" s="16">
        <f>1990+354</f>
        <v>2344</v>
      </c>
      <c r="D12" s="17"/>
      <c r="E12" s="17">
        <v>6</v>
      </c>
      <c r="F12" s="17">
        <v>66.75</v>
      </c>
      <c r="G12" s="17">
        <v>747</v>
      </c>
      <c r="H12" s="30">
        <f>C12/'Balance Sheet '!E12</f>
        <v>0.0221297004371182</v>
      </c>
      <c r="I12" s="15">
        <f>C12/C11-1</f>
        <v>-0.0914728682170543</v>
      </c>
      <c r="J12" s="15">
        <f>(G12+E12-C12+F12)/C12</f>
        <v>-0.650277303754266</v>
      </c>
      <c r="K12" s="15">
        <f>AVERAGE(J9:J12)</f>
        <v>-0.648100705206846</v>
      </c>
      <c r="L12" s="15"/>
    </row>
    <row r="13" ht="20.05" customHeight="1">
      <c r="B13" s="29"/>
      <c r="C13" s="16">
        <f>4068+787-C12</f>
        <v>2511</v>
      </c>
      <c r="D13" s="17"/>
      <c r="E13" s="17">
        <f>16-E12</f>
        <v>10</v>
      </c>
      <c r="F13" s="17">
        <v>66.75</v>
      </c>
      <c r="G13" s="17">
        <f>1563-G12</f>
        <v>816</v>
      </c>
      <c r="H13" s="30">
        <f>C13/'Balance Sheet '!E13</f>
        <v>0.0237357028074487</v>
      </c>
      <c r="I13" s="15">
        <f>C13/C12-1</f>
        <v>0.0712457337883959</v>
      </c>
      <c r="J13" s="15">
        <f>(G13+E13-C13+F13)/C13</f>
        <v>-0.644464356829948</v>
      </c>
      <c r="K13" s="15">
        <f>AVERAGE(J10:J13)</f>
        <v>-0.622064016636555</v>
      </c>
      <c r="L13" s="15"/>
    </row>
    <row r="14" ht="20.05" customHeight="1">
      <c r="B14" s="29"/>
      <c r="C14" s="16">
        <f>6112+1307-SUM(C12:C13)</f>
        <v>2564</v>
      </c>
      <c r="D14" s="17"/>
      <c r="E14" s="17">
        <f>46-SUM(E12:E13)</f>
        <v>30</v>
      </c>
      <c r="F14" s="17">
        <v>66.75</v>
      </c>
      <c r="G14" s="17">
        <f>2530-SUM(G12:G13)</f>
        <v>967</v>
      </c>
      <c r="H14" s="30">
        <f>C14/'Balance Sheet '!E14</f>
        <v>0.0238698145527668</v>
      </c>
      <c r="I14" s="15">
        <f>C14/C13-1</f>
        <v>0.0211071286340104</v>
      </c>
      <c r="J14" s="15">
        <f>(G14+E14-C14+F14)/C14</f>
        <v>-0.5851209048361929</v>
      </c>
      <c r="K14" s="15">
        <f>AVERAGE(J11:J14)</f>
        <v>-0.587577075463629</v>
      </c>
      <c r="L14" s="15"/>
    </row>
    <row r="15" ht="20.05" customHeight="1">
      <c r="B15" s="29"/>
      <c r="C15" s="16">
        <f>8110+2121-SUM(C12:C14)</f>
        <v>2812</v>
      </c>
      <c r="D15" s="17"/>
      <c r="E15" s="17">
        <f>104-SUM(E12:E14)</f>
        <v>58</v>
      </c>
      <c r="F15" s="17">
        <v>66.75</v>
      </c>
      <c r="G15" s="17">
        <f>4008-SUM(G12:G14)</f>
        <v>1478</v>
      </c>
      <c r="H15" s="30">
        <f>C15/'Balance Sheet '!E15</f>
        <v>0.0243913651791577</v>
      </c>
      <c r="I15" s="15">
        <f>C15/C14-1</f>
        <v>0.09672386895475819</v>
      </c>
      <c r="J15" s="15">
        <f>(G15+E15-C15+F15)/C15</f>
        <v>-0.4300320056899</v>
      </c>
      <c r="K15" s="15">
        <f>AVERAGE(J12:J15)</f>
        <v>-0.577473642777577</v>
      </c>
      <c r="L15" s="15"/>
    </row>
    <row r="16" ht="20.05" customHeight="1">
      <c r="B16" s="31">
        <v>2022</v>
      </c>
      <c r="C16" s="16">
        <f>1990.3+366.4</f>
        <v>2356.7</v>
      </c>
      <c r="D16" s="17">
        <v>2783.88</v>
      </c>
      <c r="E16" s="17">
        <v>46.2</v>
      </c>
      <c r="F16" s="17">
        <f>56.3+11.9</f>
        <v>68.2</v>
      </c>
      <c r="G16" s="17">
        <v>703.7</v>
      </c>
      <c r="H16" s="30">
        <f>C16/'Balance Sheet '!E16</f>
        <v>0.0229829122676304</v>
      </c>
      <c r="I16" s="15">
        <f>C16/C15-1</f>
        <v>-0.161913229018492</v>
      </c>
      <c r="J16" s="15">
        <f>(G16+E16-C16+F16)/C16</f>
        <v>-0.652862052870539</v>
      </c>
      <c r="K16" s="15">
        <f>AVERAGE(J13:J16)</f>
        <v>-0.578119830056645</v>
      </c>
      <c r="L16" s="15">
        <v>-0.577473642777577</v>
      </c>
    </row>
    <row r="17" ht="20.05" customHeight="1">
      <c r="B17" s="29"/>
      <c r="C17" s="16"/>
      <c r="D17" s="17">
        <f>'Model'!C5</f>
        <v>2333.133</v>
      </c>
      <c r="E17" s="17"/>
      <c r="F17" s="32"/>
      <c r="G17" s="17"/>
      <c r="H17" s="32"/>
      <c r="I17" s="11"/>
      <c r="J17" s="32"/>
      <c r="K17" s="11"/>
      <c r="L17" s="11">
        <f>'Model'!C6</f>
        <v>-0.578119830056645</v>
      </c>
    </row>
    <row r="18" ht="20.05" customHeight="1">
      <c r="B18" s="29"/>
      <c r="C18" s="16"/>
      <c r="D18" s="17">
        <f>SUM('Model'!D5)</f>
        <v>2379.79566</v>
      </c>
      <c r="E18" s="17"/>
      <c r="F18" s="17"/>
      <c r="G18" s="17"/>
      <c r="H18" s="32"/>
      <c r="I18" s="11"/>
      <c r="J18" s="11"/>
      <c r="K18" s="11"/>
      <c r="L18" s="11"/>
    </row>
    <row r="19" ht="20.05" customHeight="1">
      <c r="B19" s="29"/>
      <c r="C19" s="16"/>
      <c r="D19" s="17">
        <f>'Model'!E5</f>
        <v>2498.785443</v>
      </c>
      <c r="E19" s="17">
        <f>C16</f>
        <v>2356.7</v>
      </c>
      <c r="F19" s="17">
        <f>D16</f>
        <v>2783.88</v>
      </c>
      <c r="G19" s="17"/>
      <c r="H19" s="32"/>
      <c r="I19" s="11"/>
      <c r="J19" s="11"/>
      <c r="K19" s="11"/>
      <c r="L19" s="11"/>
    </row>
    <row r="20" ht="20.05" customHeight="1">
      <c r="B20" s="31">
        <v>2023</v>
      </c>
      <c r="C20" s="16"/>
      <c r="D20" s="17">
        <f>'Model'!F5</f>
        <v>2623.72471515</v>
      </c>
      <c r="E20" s="17"/>
      <c r="F20" s="17"/>
      <c r="G20" s="17"/>
      <c r="H20" s="32"/>
      <c r="I20" s="11"/>
      <c r="J20" s="11"/>
      <c r="K20" s="11"/>
      <c r="L20" s="11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1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6406" style="33" customWidth="1"/>
    <col min="2" max="16" width="9.34375" style="33" customWidth="1"/>
    <col min="17" max="16384" width="16.3516" style="33" customWidth="1"/>
  </cols>
  <sheetData>
    <row r="1" ht="16.6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56.2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50</v>
      </c>
      <c r="G3" t="s" s="5">
        <v>51</v>
      </c>
      <c r="H3" t="s" s="5">
        <v>52</v>
      </c>
      <c r="I3" t="s" s="5">
        <v>25</v>
      </c>
      <c r="J3" t="s" s="5">
        <v>26</v>
      </c>
      <c r="K3" t="s" s="5">
        <v>53</v>
      </c>
      <c r="L3" t="s" s="5">
        <v>3</v>
      </c>
      <c r="M3" t="s" s="5">
        <v>34</v>
      </c>
      <c r="N3" t="s" s="5">
        <v>54</v>
      </c>
      <c r="O3" t="s" s="5">
        <v>34</v>
      </c>
      <c r="P3" s="34"/>
    </row>
    <row r="4" ht="20.25" customHeight="1">
      <c r="B4" s="24">
        <v>2019</v>
      </c>
      <c r="C4" s="25">
        <f>1691+574+103</f>
        <v>2368</v>
      </c>
      <c r="D4" s="26">
        <f>-55-888-733-71</f>
        <v>-1747</v>
      </c>
      <c r="E4" s="26">
        <f>C4+D4</f>
        <v>621</v>
      </c>
      <c r="F4" s="26">
        <v>185</v>
      </c>
      <c r="G4" s="26">
        <v>-1050</v>
      </c>
      <c r="H4" s="26"/>
      <c r="I4" s="26">
        <v>430</v>
      </c>
      <c r="J4" s="26">
        <v>0</v>
      </c>
      <c r="K4" s="26">
        <f>F4+G4</f>
        <v>-865</v>
      </c>
      <c r="L4" s="26">
        <f>AVERAGE(K4:K4)</f>
        <v>-865</v>
      </c>
      <c r="M4" s="26"/>
      <c r="N4" s="26">
        <f>-(I4+J4)</f>
        <v>-430</v>
      </c>
      <c r="O4" s="26"/>
      <c r="P4" s="26">
        <v>1</v>
      </c>
    </row>
    <row r="5" ht="20.05" customHeight="1">
      <c r="B5" s="29"/>
      <c r="C5" s="16">
        <f>3606+1126+189-C4</f>
        <v>2553</v>
      </c>
      <c r="D5" s="17">
        <f>-78-1821-1549-170-D4</f>
        <v>-1871</v>
      </c>
      <c r="E5" s="17">
        <f>C5+D5</f>
        <v>682</v>
      </c>
      <c r="F5" s="17">
        <f>-300-F4</f>
        <v>-485</v>
      </c>
      <c r="G5" s="17">
        <f>-1316-G4</f>
        <v>-266</v>
      </c>
      <c r="H5" s="17"/>
      <c r="I5" s="17">
        <f>0-I4</f>
        <v>-430</v>
      </c>
      <c r="J5" s="17">
        <f>-800-J4</f>
        <v>-800</v>
      </c>
      <c r="K5" s="17">
        <f>F5+G5</f>
        <v>-751</v>
      </c>
      <c r="L5" s="17">
        <f>AVERAGE(K4:K5)</f>
        <v>-808</v>
      </c>
      <c r="M5" s="17"/>
      <c r="N5" s="17">
        <f>-(I5+J5)+N4</f>
        <v>800</v>
      </c>
      <c r="O5" s="17"/>
      <c r="P5" s="17">
        <f>1+P4</f>
        <v>2</v>
      </c>
    </row>
    <row r="6" ht="20.05" customHeight="1">
      <c r="B6" s="29"/>
      <c r="C6" s="16">
        <f>5426+1622+294-C5-C4</f>
        <v>2421</v>
      </c>
      <c r="D6" s="17">
        <f>-89-2801-2310-280-D5-D4</f>
        <v>-1862</v>
      </c>
      <c r="E6" s="17">
        <f>C6+D6</f>
        <v>559</v>
      </c>
      <c r="F6" s="17">
        <f>1156-F5-F4</f>
        <v>1456</v>
      </c>
      <c r="G6" s="17">
        <f>-2650-G5-G4</f>
        <v>-1334</v>
      </c>
      <c r="H6" s="17"/>
      <c r="I6" s="17">
        <v>200</v>
      </c>
      <c r="J6" s="17">
        <v>0</v>
      </c>
      <c r="K6" s="17">
        <f>F6+G6</f>
        <v>122</v>
      </c>
      <c r="L6" s="17">
        <f>AVERAGE(K4:K6)</f>
        <v>-498</v>
      </c>
      <c r="M6" s="17"/>
      <c r="N6" s="17">
        <f>-(I6+J6)+N5</f>
        <v>600</v>
      </c>
      <c r="O6" s="17"/>
      <c r="P6" s="17">
        <f>1+P5</f>
        <v>3</v>
      </c>
    </row>
    <row r="7" ht="20.05" customHeight="1">
      <c r="B7" s="29"/>
      <c r="C7" s="16">
        <f>7472+1913+8+21+390-C6-C5-C4</f>
        <v>2462</v>
      </c>
      <c r="D7" s="17">
        <f>-55-3814-3000-434-D6-D5-D4</f>
        <v>-1823</v>
      </c>
      <c r="E7" s="17">
        <f>C7+D7</f>
        <v>639</v>
      </c>
      <c r="F7" s="17">
        <f>3650-F6-F5-F4</f>
        <v>2494</v>
      </c>
      <c r="G7" s="17">
        <f>3148-G6-G5-G4</f>
        <v>5798</v>
      </c>
      <c r="H7" s="17"/>
      <c r="I7" s="17">
        <v>-200</v>
      </c>
      <c r="J7" s="17">
        <v>0</v>
      </c>
      <c r="K7" s="17">
        <f>F7+G7</f>
        <v>8292</v>
      </c>
      <c r="L7" s="17">
        <f>AVERAGE(K4:K7)</f>
        <v>1699.5</v>
      </c>
      <c r="M7" s="17"/>
      <c r="N7" s="17">
        <f>-(I7+J7)+N6</f>
        <v>800</v>
      </c>
      <c r="O7" s="17"/>
      <c r="P7" s="17">
        <f>1+P6</f>
        <v>4</v>
      </c>
    </row>
    <row r="8" ht="20.05" customHeight="1">
      <c r="B8" s="31">
        <v>2020</v>
      </c>
      <c r="C8" s="16">
        <f>2026+713+87</f>
        <v>2826</v>
      </c>
      <c r="D8" s="17">
        <f>-29-1013-827-164</f>
        <v>-2033</v>
      </c>
      <c r="E8" s="17">
        <f>C8+D8</f>
        <v>793</v>
      </c>
      <c r="F8" s="17">
        <v>-2663</v>
      </c>
      <c r="G8" s="17">
        <v>3363</v>
      </c>
      <c r="H8" s="17"/>
      <c r="I8" s="17">
        <v>0</v>
      </c>
      <c r="J8" s="17">
        <v>0</v>
      </c>
      <c r="K8" s="17">
        <f>F8+G8</f>
        <v>700</v>
      </c>
      <c r="L8" s="17">
        <f>AVERAGE(K5:K8)</f>
        <v>2090.75</v>
      </c>
      <c r="M8" s="17"/>
      <c r="N8" s="17">
        <f>-(I8+J8)+N7</f>
        <v>800</v>
      </c>
      <c r="O8" s="17"/>
      <c r="P8" s="17">
        <f>1+P7</f>
        <v>5</v>
      </c>
    </row>
    <row r="9" ht="20.05" customHeight="1">
      <c r="B9" s="29"/>
      <c r="C9" s="16">
        <f>4002+1200+147-C8</f>
        <v>2523</v>
      </c>
      <c r="D9" s="17">
        <f>-135-2026-1570-305-D8</f>
        <v>-2003</v>
      </c>
      <c r="E9" s="17">
        <f>C9+D9</f>
        <v>520</v>
      </c>
      <c r="F9" s="17">
        <f>-3810-F8</f>
        <v>-1147</v>
      </c>
      <c r="G9" s="17">
        <f>-2462-G8</f>
        <v>-5825</v>
      </c>
      <c r="H9" s="17"/>
      <c r="I9" s="17">
        <v>50</v>
      </c>
      <c r="J9" s="17">
        <v>-1001</v>
      </c>
      <c r="K9" s="17">
        <f>F9+G9</f>
        <v>-6972</v>
      </c>
      <c r="L9" s="17">
        <f>AVERAGE(K6:K9)</f>
        <v>535.5</v>
      </c>
      <c r="M9" s="17"/>
      <c r="N9" s="17">
        <f>-(I9+J9)+N8</f>
        <v>1751</v>
      </c>
      <c r="O9" s="17"/>
      <c r="P9" s="17">
        <f>1+P8</f>
        <v>6</v>
      </c>
    </row>
    <row r="10" ht="20.05" customHeight="1">
      <c r="B10" s="29"/>
      <c r="C10" s="16">
        <f>5912+1461+178-C9-C8</f>
        <v>2202</v>
      </c>
      <c r="D10" s="17">
        <f>-22-3046-2204-443-D9-D8</f>
        <v>-1679</v>
      </c>
      <c r="E10" s="17">
        <f>C10+D10</f>
        <v>523</v>
      </c>
      <c r="F10" s="17">
        <f>2072-F9-F8</f>
        <v>5882</v>
      </c>
      <c r="G10" s="17">
        <f>-10262-G9-G8</f>
        <v>-7800</v>
      </c>
      <c r="H10" s="17"/>
      <c r="I10" s="17">
        <v>0</v>
      </c>
      <c r="J10" s="17">
        <v>0</v>
      </c>
      <c r="K10" s="17">
        <f>F10+G10</f>
        <v>-1918</v>
      </c>
      <c r="L10" s="17">
        <f>AVERAGE(K7:K10)</f>
        <v>25.5</v>
      </c>
      <c r="M10" s="17"/>
      <c r="N10" s="17">
        <f>-(I10+J10)+N9</f>
        <v>1751</v>
      </c>
      <c r="O10" s="17"/>
      <c r="P10" s="17">
        <f>1+P9</f>
        <v>7</v>
      </c>
    </row>
    <row r="11" ht="20.05" customHeight="1">
      <c r="B11" s="29"/>
      <c r="C11" s="16">
        <f>7971+1608+298+59+6-SUM(C8:C10)</f>
        <v>2391</v>
      </c>
      <c r="D11" s="17">
        <f>-4123-2810-715-18-SUM(D8:D10)</f>
        <v>-1951</v>
      </c>
      <c r="E11" s="17">
        <f>C11+D11</f>
        <v>440</v>
      </c>
      <c r="F11" s="17">
        <f>-545-SUM(F8:F10)</f>
        <v>-2617</v>
      </c>
      <c r="G11" s="17">
        <f>-4933-SUM(G8:G10)</f>
        <v>5329</v>
      </c>
      <c r="H11" s="17"/>
      <c r="I11" s="17">
        <f>281+50-SUM(I8:I10)</f>
        <v>281</v>
      </c>
      <c r="J11" s="17">
        <f>-1001-SUM(J8:J10)</f>
        <v>0</v>
      </c>
      <c r="K11" s="17">
        <f>F11+G11</f>
        <v>2712</v>
      </c>
      <c r="L11" s="17">
        <f>AVERAGE(K8:K11)</f>
        <v>-1369.5</v>
      </c>
      <c r="M11" s="17"/>
      <c r="N11" s="17">
        <f>-(I11+J11)+N10</f>
        <v>1470</v>
      </c>
      <c r="O11" s="17"/>
      <c r="P11" s="17">
        <f>1+P10</f>
        <v>8</v>
      </c>
    </row>
    <row r="12" ht="20.05" customHeight="1">
      <c r="B12" s="31">
        <v>2021</v>
      </c>
      <c r="C12" s="16">
        <f>1819+368+70+25</f>
        <v>2282</v>
      </c>
      <c r="D12" s="17">
        <f>-787-457-123</f>
        <v>-1367</v>
      </c>
      <c r="E12" s="17">
        <f>C12+D12</f>
        <v>915</v>
      </c>
      <c r="F12" s="17">
        <v>17098</v>
      </c>
      <c r="G12" s="17">
        <v>-16738</v>
      </c>
      <c r="H12" s="17"/>
      <c r="I12" s="17">
        <v>-281</v>
      </c>
      <c r="J12" s="17">
        <v>-2100</v>
      </c>
      <c r="K12" s="17">
        <f>F12+G12</f>
        <v>360</v>
      </c>
      <c r="L12" s="17">
        <f>AVERAGE(K9:K12)</f>
        <v>-1454.5</v>
      </c>
      <c r="M12" s="17"/>
      <c r="N12" s="17">
        <f>-(I12+J12)+N11</f>
        <v>3851</v>
      </c>
      <c r="O12" s="17"/>
      <c r="P12" s="17">
        <f>1+P11</f>
        <v>9</v>
      </c>
    </row>
    <row r="13" ht="20.05" customHeight="1">
      <c r="B13" s="29"/>
      <c r="C13" s="16">
        <f>3782+814+158+28-C12</f>
        <v>2500</v>
      </c>
      <c r="D13" s="17">
        <f>-1604-1337-310-D12</f>
        <v>-1884</v>
      </c>
      <c r="E13" s="17">
        <f>C13+D13</f>
        <v>616</v>
      </c>
      <c r="F13" s="17">
        <f>16731-F12</f>
        <v>-367</v>
      </c>
      <c r="G13" s="17">
        <f>-11966-G12</f>
        <v>4772</v>
      </c>
      <c r="H13" s="17"/>
      <c r="I13" s="17">
        <f>-281-I12</f>
        <v>0</v>
      </c>
      <c r="J13" s="17">
        <f>-2100-J12</f>
        <v>0</v>
      </c>
      <c r="K13" s="17">
        <f>F13+G13</f>
        <v>4405</v>
      </c>
      <c r="L13" s="17">
        <f>AVERAGE(K10:K13)</f>
        <v>1389.75</v>
      </c>
      <c r="M13" s="17"/>
      <c r="N13" s="17">
        <f>-(I13+J13)+N12</f>
        <v>3851</v>
      </c>
      <c r="O13" s="17"/>
      <c r="P13" s="17">
        <f>1+P12</f>
        <v>10</v>
      </c>
    </row>
    <row r="14" ht="20.05" customHeight="1">
      <c r="B14" s="29"/>
      <c r="C14" s="16">
        <f>6007+1348+227+39-SUM(C12:C13)</f>
        <v>2839</v>
      </c>
      <c r="D14" s="17">
        <f>-2402-1976-526-SUM(D12:D13)</f>
        <v>-1653</v>
      </c>
      <c r="E14" s="17">
        <f>C14+D14</f>
        <v>1186</v>
      </c>
      <c r="F14" s="17">
        <f>15607-SUM(F12:F13)</f>
        <v>-1124</v>
      </c>
      <c r="G14" s="17">
        <f>-8570-SUM(G12:G13)</f>
        <v>3396</v>
      </c>
      <c r="H14" s="17"/>
      <c r="I14" s="17">
        <f>-281-SUM(I12:I13)</f>
        <v>0</v>
      </c>
      <c r="J14" s="17">
        <f>-2100-SUM(J12:J13)</f>
        <v>0</v>
      </c>
      <c r="K14" s="17">
        <f>F14+G14</f>
        <v>2272</v>
      </c>
      <c r="L14" s="17">
        <f>AVERAGE(K11:K14)</f>
        <v>2437.25</v>
      </c>
      <c r="M14" s="17"/>
      <c r="N14" s="17">
        <f>-(I14+J14)+N13</f>
        <v>3851</v>
      </c>
      <c r="O14" s="17"/>
      <c r="P14" s="17">
        <f>1+P13</f>
        <v>11</v>
      </c>
    </row>
    <row r="15" ht="20.05" customHeight="1">
      <c r="B15" s="29"/>
      <c r="C15" s="16">
        <f>8057+2110+305+226+9+15-SUM(C12:C14)</f>
        <v>3101</v>
      </c>
      <c r="D15" s="17">
        <f>-3340-2591-845-SUM(D12:D14)</f>
        <v>-1872</v>
      </c>
      <c r="E15" s="17">
        <f>C15+D15</f>
        <v>1229</v>
      </c>
      <c r="F15" s="17">
        <f>10933-SUM(F12:F14)</f>
        <v>-4674</v>
      </c>
      <c r="G15" s="17">
        <f>1064-SUM(G12:G14)</f>
        <v>9634</v>
      </c>
      <c r="H15" s="17">
        <v>0</v>
      </c>
      <c r="I15" s="17">
        <f>285-281-J15</f>
        <v>4</v>
      </c>
      <c r="J15" s="17">
        <f>-2100-SUM(J12:J14)</f>
        <v>0</v>
      </c>
      <c r="K15" s="17">
        <f>F15+G15</f>
        <v>4960</v>
      </c>
      <c r="L15" s="17">
        <f>AVERAGE(K12:K15)</f>
        <v>2999.25</v>
      </c>
      <c r="M15" s="17"/>
      <c r="N15" s="17">
        <f>-(I15+J15)+N14</f>
        <v>3847</v>
      </c>
      <c r="O15" s="17"/>
      <c r="P15" s="17">
        <f>1+P14</f>
        <v>12</v>
      </c>
    </row>
    <row r="16" ht="20.05" customHeight="1">
      <c r="B16" s="31">
        <v>2022</v>
      </c>
      <c r="C16" s="16">
        <f>1829.8+441.1+74.6+6</f>
        <v>2351.5</v>
      </c>
      <c r="D16" s="17">
        <f>-619.3-552.3-192.6</f>
        <v>-1364.2</v>
      </c>
      <c r="E16" s="17">
        <f>C16+D16</f>
        <v>987.3</v>
      </c>
      <c r="F16" s="17">
        <v>-6955.7</v>
      </c>
      <c r="G16" s="17">
        <v>3102</v>
      </c>
      <c r="H16" s="17">
        <v>0</v>
      </c>
      <c r="I16" s="17">
        <v>-285</v>
      </c>
      <c r="J16" s="17">
        <v>-2800</v>
      </c>
      <c r="K16" s="17">
        <f>F16+G16</f>
        <v>-3853.7</v>
      </c>
      <c r="L16" s="17">
        <f>AVERAGE(K13:K16)</f>
        <v>1945.825</v>
      </c>
      <c r="M16" s="17">
        <v>1006.375098546750</v>
      </c>
      <c r="N16" s="17">
        <f>-(I16+J16)+N15</f>
        <v>6932</v>
      </c>
      <c r="O16" s="17">
        <v>5190.234665238610</v>
      </c>
      <c r="P16" s="17">
        <f>1+P15</f>
        <v>13</v>
      </c>
    </row>
    <row r="17" ht="20.05" customHeight="1">
      <c r="B17" s="29"/>
      <c r="C17" s="16"/>
      <c r="D17" s="17"/>
      <c r="E17" s="17"/>
      <c r="F17" s="17"/>
      <c r="G17" s="17"/>
      <c r="H17" s="17"/>
      <c r="I17" s="17"/>
      <c r="J17" s="17"/>
      <c r="K17" s="17"/>
      <c r="L17" s="32"/>
      <c r="M17" s="17">
        <f>SUM('Model'!F8:F9)</f>
        <v>840.897428712060</v>
      </c>
      <c r="N17" s="32"/>
      <c r="O17" s="17">
        <f>'Model'!F31</f>
        <v>8039.532980020590</v>
      </c>
      <c r="P17" s="17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1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7188" style="35" customWidth="1"/>
    <col min="2" max="5" width="9.61719" style="35" customWidth="1"/>
    <col min="6" max="12" width="10.5938" style="35" customWidth="1"/>
    <col min="13" max="16384" width="16.3516" style="35" customWidth="1"/>
  </cols>
  <sheetData>
    <row r="1" ht="16.3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44.25" customHeight="1">
      <c r="B3" t="s" s="5">
        <v>1</v>
      </c>
      <c r="C3" t="s" s="5">
        <v>55</v>
      </c>
      <c r="D3" t="s" s="5">
        <v>56</v>
      </c>
      <c r="E3" t="s" s="5">
        <v>57</v>
      </c>
      <c r="F3" t="s" s="5">
        <v>58</v>
      </c>
      <c r="G3" t="s" s="5">
        <v>25</v>
      </c>
      <c r="H3" t="s" s="5">
        <v>26</v>
      </c>
      <c r="I3" t="s" s="5">
        <v>59</v>
      </c>
      <c r="J3" t="s" s="5">
        <v>60</v>
      </c>
      <c r="K3" t="s" s="5">
        <v>61</v>
      </c>
      <c r="L3" t="s" s="5">
        <v>62</v>
      </c>
    </row>
    <row r="4" ht="20.9" customHeight="1">
      <c r="B4" s="24">
        <v>2019</v>
      </c>
      <c r="C4" s="25">
        <v>7407</v>
      </c>
      <c r="D4" s="26">
        <v>83973</v>
      </c>
      <c r="E4" s="26">
        <f>D4-C4</f>
        <v>76566</v>
      </c>
      <c r="F4" s="26"/>
      <c r="G4" s="26">
        <v>69362</v>
      </c>
      <c r="H4" s="26">
        <f>D4-G4</f>
        <v>14611</v>
      </c>
      <c r="I4" s="26">
        <f>G4+H4-C4-E4</f>
        <v>0</v>
      </c>
      <c r="J4" s="36"/>
      <c r="K4" s="36"/>
      <c r="L4" s="37"/>
    </row>
    <row r="5" ht="20.9" customHeight="1">
      <c r="B5" s="29"/>
      <c r="C5" s="16">
        <v>5426</v>
      </c>
      <c r="D5" s="17">
        <v>84278</v>
      </c>
      <c r="E5" s="17">
        <f>D5-C5</f>
        <v>78852</v>
      </c>
      <c r="F5" s="17"/>
      <c r="G5" s="17">
        <v>69918</v>
      </c>
      <c r="H5" s="17">
        <f>D5-G5</f>
        <v>14360</v>
      </c>
      <c r="I5" s="17">
        <f>G5+H5-C5-E5</f>
        <v>0</v>
      </c>
      <c r="J5" s="38">
        <f>E5/E4-1</f>
        <v>0.0298565943107907</v>
      </c>
      <c r="K5" s="38">
        <f>G5/G4-1</f>
        <v>0.00801591649606413</v>
      </c>
      <c r="L5" s="21">
        <f>C5-G5</f>
        <v>-64492</v>
      </c>
    </row>
    <row r="6" ht="20.9" customHeight="1">
      <c r="B6" s="29"/>
      <c r="C6" s="16">
        <v>5748</v>
      </c>
      <c r="D6" s="17">
        <v>87809</v>
      </c>
      <c r="E6" s="17">
        <f>D6-C6</f>
        <v>82061</v>
      </c>
      <c r="F6" s="17"/>
      <c r="G6" s="17">
        <v>72858</v>
      </c>
      <c r="H6" s="17">
        <f>D6-G6</f>
        <v>14951</v>
      </c>
      <c r="I6" s="17">
        <f>G6+H6-C6-E6</f>
        <v>0</v>
      </c>
      <c r="J6" s="38">
        <f>E6/E5-1</f>
        <v>0.0406964946989296</v>
      </c>
      <c r="K6" s="38">
        <f>G6/G5-1</f>
        <v>0.0420492577018793</v>
      </c>
      <c r="L6" s="21">
        <f>C6-G6</f>
        <v>-67110</v>
      </c>
    </row>
    <row r="7" ht="20.9" customHeight="1">
      <c r="B7" s="29"/>
      <c r="C7" s="16">
        <v>13840</v>
      </c>
      <c r="D7" s="17">
        <v>100803</v>
      </c>
      <c r="E7" s="17">
        <f>D7-C7</f>
        <v>86963</v>
      </c>
      <c r="F7" s="17"/>
      <c r="G7" s="17">
        <v>85262</v>
      </c>
      <c r="H7" s="17">
        <f>D7-G7</f>
        <v>15541</v>
      </c>
      <c r="I7" s="17">
        <f>G7+H7-C7-E7</f>
        <v>0</v>
      </c>
      <c r="J7" s="38">
        <f>E7/E6-1</f>
        <v>0.0597360500115768</v>
      </c>
      <c r="K7" s="38">
        <f>G7/G6-1</f>
        <v>0.17024897746301</v>
      </c>
      <c r="L7" s="21">
        <f>C7-G7</f>
        <v>-71422</v>
      </c>
    </row>
    <row r="8" ht="20.9" customHeight="1">
      <c r="B8" s="31">
        <v>2020</v>
      </c>
      <c r="C8" s="16">
        <v>14540</v>
      </c>
      <c r="D8" s="17">
        <v>99260</v>
      </c>
      <c r="E8" s="17">
        <f>D8-C8</f>
        <v>84720</v>
      </c>
      <c r="F8" s="17"/>
      <c r="G8" s="17">
        <v>83561</v>
      </c>
      <c r="H8" s="17">
        <f>D8-G8</f>
        <v>15699</v>
      </c>
      <c r="I8" s="17">
        <f>G8+H8-C8-E8</f>
        <v>0</v>
      </c>
      <c r="J8" s="38">
        <f>E8/E7-1</f>
        <v>-0.0257925784529053</v>
      </c>
      <c r="K8" s="38">
        <f>G8/G7-1</f>
        <v>-0.0199502709296052</v>
      </c>
      <c r="L8" s="21">
        <f>C8-G8</f>
        <v>-69021</v>
      </c>
    </row>
    <row r="9" ht="20.9" customHeight="1">
      <c r="B9" s="29"/>
      <c r="C9" s="16">
        <v>6617</v>
      </c>
      <c r="D9" s="17">
        <v>99236</v>
      </c>
      <c r="E9" s="17">
        <f>D9-C9</f>
        <v>92619</v>
      </c>
      <c r="F9" s="17"/>
      <c r="G9" s="17">
        <v>83930</v>
      </c>
      <c r="H9" s="17">
        <f>D9-G9</f>
        <v>15306</v>
      </c>
      <c r="I9" s="17">
        <f>G9+H9-C9-E9</f>
        <v>0</v>
      </c>
      <c r="J9" s="38">
        <f>E9/E8-1</f>
        <v>0.09323654390934839</v>
      </c>
      <c r="K9" s="38">
        <f>G9/G8-1</f>
        <v>0.00441593566376659</v>
      </c>
      <c r="L9" s="21">
        <f>C9-G9</f>
        <v>-77313</v>
      </c>
    </row>
    <row r="10" ht="20.9" customHeight="1">
      <c r="B10" s="29"/>
      <c r="C10" s="16">
        <v>4699</v>
      </c>
      <c r="D10" s="17">
        <v>103824</v>
      </c>
      <c r="E10" s="17">
        <f>D10-C10</f>
        <v>99125</v>
      </c>
      <c r="F10" s="17"/>
      <c r="G10" s="17">
        <v>87789</v>
      </c>
      <c r="H10" s="17">
        <f>D10-G10</f>
        <v>16035</v>
      </c>
      <c r="I10" s="17">
        <f>G10+H10-C10-E10</f>
        <v>0</v>
      </c>
      <c r="J10" s="38">
        <f>E10/E9-1</f>
        <v>0.0702447661926818</v>
      </c>
      <c r="K10" s="38">
        <f>G10/G9-1</f>
        <v>0.0459787918503515</v>
      </c>
      <c r="L10" s="21">
        <f>C10-G10</f>
        <v>-83090</v>
      </c>
    </row>
    <row r="11" ht="20.9" customHeight="1">
      <c r="B11" s="29"/>
      <c r="C11" s="16">
        <v>7692</v>
      </c>
      <c r="D11" s="17">
        <v>112203</v>
      </c>
      <c r="E11" s="17">
        <f>D11-C11</f>
        <v>104511</v>
      </c>
      <c r="F11" s="17">
        <v>1683</v>
      </c>
      <c r="G11" s="17">
        <v>93995</v>
      </c>
      <c r="H11" s="17">
        <f>D11-G11</f>
        <v>18208</v>
      </c>
      <c r="I11" s="17">
        <f>G11+H11-C11-E11</f>
        <v>0</v>
      </c>
      <c r="J11" s="38">
        <f>E11/E10-1</f>
        <v>0.0543354350567465</v>
      </c>
      <c r="K11" s="38">
        <f>G11/G10-1</f>
        <v>0.0706922279556664</v>
      </c>
      <c r="L11" s="21">
        <f>C11-G11</f>
        <v>-86303</v>
      </c>
    </row>
    <row r="12" ht="20.9" customHeight="1">
      <c r="B12" s="31">
        <v>2021</v>
      </c>
      <c r="C12" s="16">
        <v>5671</v>
      </c>
      <c r="D12" s="17">
        <v>111592</v>
      </c>
      <c r="E12" s="17">
        <f>D12-C12</f>
        <v>105921</v>
      </c>
      <c r="F12" s="17"/>
      <c r="G12" s="17">
        <v>95833</v>
      </c>
      <c r="H12" s="17">
        <f>D12-G12</f>
        <v>15759</v>
      </c>
      <c r="I12" s="17">
        <f>G12+H12-C12-E12</f>
        <v>0</v>
      </c>
      <c r="J12" s="38">
        <f>E12/E11-1</f>
        <v>0.013491402818842</v>
      </c>
      <c r="K12" s="38">
        <f>G12/G11-1</f>
        <v>0.0195542316080643</v>
      </c>
      <c r="L12" s="21">
        <f>C12-G12</f>
        <v>-90162</v>
      </c>
    </row>
    <row r="13" ht="20.9" customHeight="1">
      <c r="B13" s="29"/>
      <c r="C13" s="16">
        <v>10076</v>
      </c>
      <c r="D13" s="17">
        <v>115866</v>
      </c>
      <c r="E13" s="17">
        <f>D13-C13</f>
        <v>105790</v>
      </c>
      <c r="F13" s="17"/>
      <c r="G13" s="17">
        <v>98874</v>
      </c>
      <c r="H13" s="17">
        <f>D13-G13</f>
        <v>16992</v>
      </c>
      <c r="I13" s="17">
        <f>G13+H13-C13-E13</f>
        <v>0</v>
      </c>
      <c r="J13" s="38">
        <f>E13/E12-1</f>
        <v>-0.0012367708008799</v>
      </c>
      <c r="K13" s="38">
        <f>G13/G12-1</f>
        <v>0.0317322842862062</v>
      </c>
      <c r="L13" s="21">
        <f>C13-G13</f>
        <v>-88798</v>
      </c>
    </row>
    <row r="14" ht="20.9" customHeight="1">
      <c r="B14" s="29"/>
      <c r="C14" s="16">
        <v>12348</v>
      </c>
      <c r="D14" s="17">
        <v>119764</v>
      </c>
      <c r="E14" s="17">
        <f>D14-C14</f>
        <v>107416</v>
      </c>
      <c r="F14" s="17"/>
      <c r="G14" s="17">
        <v>101459</v>
      </c>
      <c r="H14" s="17">
        <f>D14-G14</f>
        <v>18305</v>
      </c>
      <c r="I14" s="17">
        <f>G14+H14-C14-E14</f>
        <v>0</v>
      </c>
      <c r="J14" s="38">
        <f>E14/E13-1</f>
        <v>0.0153700727857075</v>
      </c>
      <c r="K14" s="38">
        <f>G14/G13-1</f>
        <v>0.026144385783927</v>
      </c>
      <c r="L14" s="21">
        <f>C14-G14</f>
        <v>-89111</v>
      </c>
    </row>
    <row r="15" ht="20.9" customHeight="1">
      <c r="B15" s="29"/>
      <c r="C15" s="16">
        <v>17592.3</v>
      </c>
      <c r="D15" s="17">
        <v>132879</v>
      </c>
      <c r="E15" s="17">
        <f>D15-C15</f>
        <v>115286.7</v>
      </c>
      <c r="F15" s="17">
        <v>1938</v>
      </c>
      <c r="G15" s="17">
        <v>113735</v>
      </c>
      <c r="H15" s="17">
        <f>D15-G15</f>
        <v>19144</v>
      </c>
      <c r="I15" s="17">
        <f>G15+H15-C15-E15</f>
        <v>0</v>
      </c>
      <c r="J15" s="38">
        <f>E15/E14-1</f>
        <v>0.0732730691889476</v>
      </c>
      <c r="K15" s="38">
        <f>G15/G14-1</f>
        <v>0.12099468750924</v>
      </c>
      <c r="L15" s="21">
        <f>C15-G15</f>
        <v>-96142.7</v>
      </c>
    </row>
    <row r="16" ht="20.9" customHeight="1">
      <c r="B16" s="31">
        <v>2022</v>
      </c>
      <c r="C16" s="16">
        <f>C15+' Cashflow'!F16+' Cashflow'!G16+' Cashflow'!I16+' Cashflow'!J16</f>
        <v>10653.6</v>
      </c>
      <c r="D16" s="17">
        <v>113195</v>
      </c>
      <c r="E16" s="17">
        <f>D16-C16</f>
        <v>102541.4</v>
      </c>
      <c r="F16" s="17">
        <v>1995</v>
      </c>
      <c r="G16" s="17">
        <v>96290</v>
      </c>
      <c r="H16" s="17">
        <v>16905</v>
      </c>
      <c r="I16" s="17">
        <f>G16+H16-C16-E16</f>
        <v>0</v>
      </c>
      <c r="J16" s="38">
        <f>E16/E15-1</f>
        <v>-0.110553082012062</v>
      </c>
      <c r="K16" s="38">
        <f>G16/G15-1</f>
        <v>-0.153382863674331</v>
      </c>
      <c r="L16" s="21">
        <f>C16-G16</f>
        <v>-85636.399999999994</v>
      </c>
    </row>
    <row r="17" ht="20.9" customHeight="1">
      <c r="B17" s="29"/>
      <c r="C17" s="16"/>
      <c r="D17" s="17"/>
      <c r="E17" s="17"/>
      <c r="F17" s="17"/>
      <c r="G17" s="17"/>
      <c r="H17" s="17"/>
      <c r="I17" s="17"/>
      <c r="J17" s="38"/>
      <c r="K17" s="38"/>
      <c r="L17" s="32"/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1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0312" style="39" customWidth="1"/>
    <col min="2" max="2" width="6.86719" style="39" customWidth="1"/>
    <col min="3" max="4" width="8.32031" style="39" customWidth="1"/>
    <col min="5" max="16384" width="16.3516" style="39" customWidth="1"/>
  </cols>
  <sheetData>
    <row r="1" ht="7.3" customHeight="1"/>
    <row r="2" ht="27.65" customHeight="1">
      <c r="B2" t="s" s="2">
        <v>63</v>
      </c>
      <c r="C2" s="2"/>
      <c r="D2" s="2"/>
    </row>
    <row r="3" ht="20.25" customHeight="1">
      <c r="B3" s="4"/>
      <c r="C3" t="s" s="40">
        <v>64</v>
      </c>
      <c r="D3" t="s" s="40">
        <v>37</v>
      </c>
    </row>
    <row r="4" ht="20.25" customHeight="1">
      <c r="B4" s="24">
        <v>2019</v>
      </c>
      <c r="C4" s="25">
        <v>5575</v>
      </c>
      <c r="D4" s="41"/>
    </row>
    <row r="5" ht="20.05" customHeight="1">
      <c r="B5" s="29"/>
      <c r="C5" s="16">
        <v>5850</v>
      </c>
      <c r="D5" s="42"/>
    </row>
    <row r="6" ht="20.05" customHeight="1">
      <c r="B6" s="29"/>
      <c r="C6" s="16">
        <v>6000</v>
      </c>
      <c r="D6" s="42"/>
    </row>
    <row r="7" ht="20.05" customHeight="1">
      <c r="B7" s="29"/>
      <c r="C7" s="16">
        <v>6350</v>
      </c>
      <c r="D7" s="42"/>
    </row>
    <row r="8" ht="20.05" customHeight="1">
      <c r="B8" s="31">
        <v>2020</v>
      </c>
      <c r="C8" s="16">
        <v>6500</v>
      </c>
      <c r="D8" s="42"/>
    </row>
    <row r="9" ht="20.05" customHeight="1">
      <c r="B9" s="29"/>
      <c r="C9" s="16">
        <v>6550</v>
      </c>
      <c r="D9" s="32"/>
    </row>
    <row r="10" ht="20.05" customHeight="1">
      <c r="B10" s="29"/>
      <c r="C10" s="16">
        <v>7000</v>
      </c>
      <c r="D10" s="32"/>
    </row>
    <row r="11" ht="20.05" customHeight="1">
      <c r="B11" s="29"/>
      <c r="C11" s="16">
        <v>7200</v>
      </c>
      <c r="D11" s="32"/>
    </row>
    <row r="12" ht="20.05" customHeight="1">
      <c r="B12" s="31">
        <v>2021</v>
      </c>
      <c r="C12" s="16">
        <v>8925</v>
      </c>
      <c r="D12" s="32"/>
    </row>
    <row r="13" ht="20.05" customHeight="1">
      <c r="B13" s="29"/>
      <c r="C13" s="16">
        <v>7975</v>
      </c>
      <c r="D13" s="32"/>
    </row>
    <row r="14" ht="20.05" customHeight="1">
      <c r="B14" s="29"/>
      <c r="C14" s="16">
        <v>8700</v>
      </c>
      <c r="D14" s="32"/>
    </row>
    <row r="15" ht="20.05" customHeight="1">
      <c r="B15" s="29"/>
      <c r="C15" s="16">
        <v>8475</v>
      </c>
      <c r="D15" s="32"/>
    </row>
    <row r="16" ht="20.05" customHeight="1">
      <c r="B16" s="31">
        <v>2022</v>
      </c>
      <c r="C16" s="16">
        <v>6400</v>
      </c>
      <c r="D16" s="13">
        <v>12273.0465415055</v>
      </c>
    </row>
    <row r="17" ht="20.05" customHeight="1">
      <c r="B17" s="29"/>
      <c r="C17" s="16">
        <v>5900</v>
      </c>
      <c r="D17" s="13">
        <v>12273.0465415055</v>
      </c>
    </row>
    <row r="18" ht="20.05" customHeight="1">
      <c r="B18" s="29"/>
      <c r="C18" s="16"/>
      <c r="D18" s="13">
        <f>'Model'!F41</f>
        <v>6569.7189047836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1.5625" style="43" customWidth="1"/>
    <col min="11" max="16384" width="16.3516" style="43" customWidth="1"/>
  </cols>
  <sheetData>
    <row r="1" ht="27.65" customHeight="1">
      <c r="A1" t="s" s="2">
        <v>54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s="34"/>
      <c r="B2" t="s" s="5">
        <v>25</v>
      </c>
      <c r="C2" t="s" s="5">
        <v>26</v>
      </c>
      <c r="D2" t="s" s="5">
        <v>65</v>
      </c>
      <c r="E2" t="s" s="5">
        <v>25</v>
      </c>
      <c r="F2" t="s" s="5">
        <v>26</v>
      </c>
      <c r="G2" t="s" s="5">
        <v>66</v>
      </c>
      <c r="H2" s="4"/>
      <c r="I2" s="4"/>
      <c r="J2" s="4"/>
    </row>
    <row r="3" ht="20.25" customHeight="1">
      <c r="A3" s="24">
        <v>1998</v>
      </c>
      <c r="B3" s="25"/>
      <c r="C3" s="26"/>
      <c r="D3" s="26">
        <f>B3+C3</f>
        <v>0</v>
      </c>
      <c r="E3" s="26">
        <f>B3</f>
        <v>0</v>
      </c>
      <c r="F3" s="26">
        <f>C3</f>
        <v>0</v>
      </c>
      <c r="G3" s="26">
        <f>D3</f>
        <v>0</v>
      </c>
      <c r="H3" s="37"/>
      <c r="I3" s="37"/>
      <c r="J3" s="37"/>
    </row>
    <row r="4" ht="20.05" customHeight="1">
      <c r="A4" s="31">
        <f>1+$A3</f>
        <v>1999</v>
      </c>
      <c r="B4" s="16"/>
      <c r="C4" s="17"/>
      <c r="D4" s="17">
        <f>B4+C4</f>
        <v>0</v>
      </c>
      <c r="E4" s="17">
        <f>B4+E3</f>
        <v>0</v>
      </c>
      <c r="F4" s="17">
        <f>C4+F3</f>
        <v>0</v>
      </c>
      <c r="G4" s="17">
        <f>D4+G3</f>
        <v>0</v>
      </c>
      <c r="H4" s="32"/>
      <c r="I4" s="32"/>
      <c r="J4" s="32"/>
    </row>
    <row r="5" ht="20.05" customHeight="1">
      <c r="A5" s="31">
        <f>1+$A4</f>
        <v>2000</v>
      </c>
      <c r="B5" s="16"/>
      <c r="C5" s="17"/>
      <c r="D5" s="17">
        <f>B5+C5</f>
        <v>0</v>
      </c>
      <c r="E5" s="17">
        <f>B5+E4</f>
        <v>0</v>
      </c>
      <c r="F5" s="17">
        <f>C5+F4</f>
        <v>0</v>
      </c>
      <c r="G5" s="17">
        <f>D5+G4</f>
        <v>0</v>
      </c>
      <c r="H5" s="32"/>
      <c r="I5" s="32"/>
      <c r="J5" s="32"/>
    </row>
    <row r="6" ht="20.05" customHeight="1">
      <c r="A6" s="31">
        <f>1+$A5</f>
        <v>2001</v>
      </c>
      <c r="B6" s="16"/>
      <c r="C6" s="17"/>
      <c r="D6" s="17">
        <f>B6+C6</f>
        <v>0</v>
      </c>
      <c r="E6" s="17">
        <f>B6+E5</f>
        <v>0</v>
      </c>
      <c r="F6" s="17">
        <f>C6+F5</f>
        <v>0</v>
      </c>
      <c r="G6" s="17">
        <f>D6+G5</f>
        <v>0</v>
      </c>
      <c r="H6" s="32"/>
      <c r="I6" s="32"/>
      <c r="J6" s="32"/>
    </row>
    <row r="7" ht="20.05" customHeight="1">
      <c r="A7" s="31">
        <f>1+$A6</f>
        <v>2002</v>
      </c>
      <c r="B7" s="16"/>
      <c r="C7" s="17"/>
      <c r="D7" s="17">
        <f>B7+C7</f>
        <v>0</v>
      </c>
      <c r="E7" s="17">
        <f>B7+E6</f>
        <v>0</v>
      </c>
      <c r="F7" s="17">
        <f>C7+F6</f>
        <v>0</v>
      </c>
      <c r="G7" s="17">
        <f>D7+G6</f>
        <v>0</v>
      </c>
      <c r="H7" s="32"/>
      <c r="I7" s="32"/>
      <c r="J7" s="32"/>
    </row>
    <row r="8" ht="20.05" customHeight="1">
      <c r="A8" s="31">
        <f>1+$A7</f>
        <v>2003</v>
      </c>
      <c r="B8" s="16"/>
      <c r="C8" s="17"/>
      <c r="D8" s="17">
        <f>B8+C8</f>
        <v>0</v>
      </c>
      <c r="E8" s="17">
        <f>B8+E7</f>
        <v>0</v>
      </c>
      <c r="F8" s="17">
        <f>C8+F7</f>
        <v>0</v>
      </c>
      <c r="G8" s="17">
        <f>D8+G7</f>
        <v>0</v>
      </c>
      <c r="H8" s="32"/>
      <c r="I8" s="32"/>
      <c r="J8" s="32"/>
    </row>
    <row r="9" ht="20.05" customHeight="1">
      <c r="A9" s="31">
        <f>1+$A8</f>
        <v>2004</v>
      </c>
      <c r="B9" s="16"/>
      <c r="C9" s="17"/>
      <c r="D9" s="17">
        <f>B9+C9</f>
        <v>0</v>
      </c>
      <c r="E9" s="17">
        <f>B9+E8</f>
        <v>0</v>
      </c>
      <c r="F9" s="17">
        <f>C9+F8</f>
        <v>0</v>
      </c>
      <c r="G9" s="17">
        <f>D9+G8</f>
        <v>0</v>
      </c>
      <c r="H9" s="32"/>
      <c r="I9" s="32"/>
      <c r="J9" s="32"/>
    </row>
    <row r="10" ht="20.05" customHeight="1">
      <c r="A10" s="31">
        <f>1+$A9</f>
        <v>2005</v>
      </c>
      <c r="B10" s="16"/>
      <c r="C10" s="17"/>
      <c r="D10" s="17">
        <f>B10+C10</f>
        <v>0</v>
      </c>
      <c r="E10" s="17">
        <f>B10+E9</f>
        <v>0</v>
      </c>
      <c r="F10" s="17">
        <f>C10+F9</f>
        <v>0</v>
      </c>
      <c r="G10" s="17">
        <f>D10+G9</f>
        <v>0</v>
      </c>
      <c r="H10" s="32"/>
      <c r="I10" s="32"/>
      <c r="J10" s="32"/>
    </row>
    <row r="11" ht="20.05" customHeight="1">
      <c r="A11" s="31">
        <f>1+$A10</f>
        <v>2006</v>
      </c>
      <c r="B11" s="16"/>
      <c r="C11" s="17"/>
      <c r="D11" s="17">
        <f>B11+C11</f>
        <v>0</v>
      </c>
      <c r="E11" s="17">
        <f>B11+E10</f>
        <v>0</v>
      </c>
      <c r="F11" s="17">
        <f>C11+F10</f>
        <v>0</v>
      </c>
      <c r="G11" s="17">
        <f>D11+G10</f>
        <v>0</v>
      </c>
      <c r="H11" s="32"/>
      <c r="I11" s="32"/>
      <c r="J11" s="32"/>
    </row>
    <row r="12" ht="20.05" customHeight="1">
      <c r="A12" s="31">
        <f>1+$A11</f>
        <v>2007</v>
      </c>
      <c r="B12" s="16">
        <v>254</v>
      </c>
      <c r="C12" s="17"/>
      <c r="D12" s="17">
        <f>B12+C12</f>
        <v>254</v>
      </c>
      <c r="E12" s="17">
        <f>B12+E11</f>
        <v>254</v>
      </c>
      <c r="F12" s="17">
        <f>C12+F11</f>
        <v>0</v>
      </c>
      <c r="G12" s="17">
        <f>D12+G11</f>
        <v>254</v>
      </c>
      <c r="H12" s="32"/>
      <c r="I12" s="32"/>
      <c r="J12" s="32"/>
    </row>
    <row r="13" ht="20.05" customHeight="1">
      <c r="A13" s="31">
        <f>1+$A12</f>
        <v>2008</v>
      </c>
      <c r="B13" s="16">
        <f>542-C13</f>
        <v>646</v>
      </c>
      <c r="C13" s="17">
        <v>-104</v>
      </c>
      <c r="D13" s="17">
        <f>B13+C13</f>
        <v>542</v>
      </c>
      <c r="E13" s="17">
        <f>B13+E12</f>
        <v>900</v>
      </c>
      <c r="F13" s="17">
        <f>C13+F12</f>
        <v>-104</v>
      </c>
      <c r="G13" s="17">
        <f>D13+G12</f>
        <v>796</v>
      </c>
      <c r="H13" s="32"/>
      <c r="I13" s="32"/>
      <c r="J13" s="32"/>
    </row>
    <row r="14" ht="20.05" customHeight="1">
      <c r="A14" s="31">
        <f>1+$A13</f>
        <v>2009</v>
      </c>
      <c r="B14" s="16">
        <v>-121</v>
      </c>
      <c r="C14" s="17"/>
      <c r="D14" s="17">
        <f>B14+C14</f>
        <v>-121</v>
      </c>
      <c r="E14" s="17">
        <f>B14+E13</f>
        <v>779</v>
      </c>
      <c r="F14" s="17">
        <f>C14+F13</f>
        <v>-104</v>
      </c>
      <c r="G14" s="17">
        <f>D14+G13</f>
        <v>675</v>
      </c>
      <c r="H14" s="32"/>
      <c r="I14" s="32"/>
      <c r="J14" s="32"/>
    </row>
    <row r="15" ht="20.05" customHeight="1">
      <c r="A15" s="31">
        <f>1+$A14</f>
        <v>2010</v>
      </c>
      <c r="B15" s="16">
        <v>243</v>
      </c>
      <c r="C15" s="17"/>
      <c r="D15" s="17">
        <f>B15+C15</f>
        <v>243</v>
      </c>
      <c r="E15" s="17">
        <f>B15+E14</f>
        <v>1022</v>
      </c>
      <c r="F15" s="17">
        <f>C15+F14</f>
        <v>-104</v>
      </c>
      <c r="G15" s="17">
        <f>D15+G14</f>
        <v>918</v>
      </c>
      <c r="H15" s="32"/>
      <c r="I15" s="32"/>
      <c r="J15" s="32"/>
    </row>
    <row r="16" ht="20.05" customHeight="1">
      <c r="A16" s="31">
        <f>1+$A15</f>
        <v>2011</v>
      </c>
      <c r="B16" s="16">
        <f>-399-C16</f>
        <v>101</v>
      </c>
      <c r="C16" s="17">
        <v>-500</v>
      </c>
      <c r="D16" s="17">
        <f>B16+C16</f>
        <v>-399</v>
      </c>
      <c r="E16" s="17">
        <f>B16+E15</f>
        <v>1123</v>
      </c>
      <c r="F16" s="17">
        <f>C16+F15</f>
        <v>-604</v>
      </c>
      <c r="G16" s="17">
        <f>D16+G15</f>
        <v>519</v>
      </c>
      <c r="H16" s="32"/>
      <c r="I16" s="32"/>
      <c r="J16" s="32"/>
    </row>
    <row r="17" ht="20.05" customHeight="1">
      <c r="A17" s="31">
        <f>1+$A16</f>
        <v>2012</v>
      </c>
      <c r="B17" s="16">
        <v>-152</v>
      </c>
      <c r="C17" s="17"/>
      <c r="D17" s="17">
        <f>B17+C17</f>
        <v>-152</v>
      </c>
      <c r="E17" s="17">
        <f>B17+E16</f>
        <v>971</v>
      </c>
      <c r="F17" s="17">
        <f>C17+F16</f>
        <v>-604</v>
      </c>
      <c r="G17" s="17">
        <f>D17+G16</f>
        <v>367</v>
      </c>
      <c r="H17" s="32"/>
      <c r="I17" s="32"/>
      <c r="J17" s="32"/>
    </row>
    <row r="18" ht="20.05" customHeight="1">
      <c r="A18" s="31">
        <f>1+$A17</f>
        <v>2013</v>
      </c>
      <c r="B18" s="16">
        <f>-1764-C18</f>
        <v>-1071</v>
      </c>
      <c r="C18" s="17">
        <v>-693</v>
      </c>
      <c r="D18" s="17">
        <f>B18+C18</f>
        <v>-1764</v>
      </c>
      <c r="E18" s="17">
        <f>B18+E17</f>
        <v>-100</v>
      </c>
      <c r="F18" s="17">
        <f>C18+F17</f>
        <v>-1297</v>
      </c>
      <c r="G18" s="17">
        <f>D18+G17</f>
        <v>-1397</v>
      </c>
      <c r="H18" s="32"/>
      <c r="I18" s="32"/>
      <c r="J18" s="32"/>
    </row>
    <row r="19" ht="20.05" customHeight="1">
      <c r="A19" s="31">
        <f>1+$A18</f>
        <v>2014</v>
      </c>
      <c r="B19" s="16">
        <v>-28</v>
      </c>
      <c r="C19" s="17"/>
      <c r="D19" s="17">
        <f>B19+C19</f>
        <v>-28</v>
      </c>
      <c r="E19" s="17">
        <f>B19+E18</f>
        <v>-128</v>
      </c>
      <c r="F19" s="17">
        <f>C19+F18</f>
        <v>-1297</v>
      </c>
      <c r="G19" s="17">
        <f>D19+G18</f>
        <v>-1425</v>
      </c>
      <c r="H19" s="32"/>
      <c r="I19" s="32"/>
      <c r="J19" s="32"/>
    </row>
    <row r="20" ht="20.05" customHeight="1">
      <c r="A20" s="31">
        <f>1+$A19</f>
        <v>2015</v>
      </c>
      <c r="B20" s="16">
        <f>1016-C20</f>
        <v>1116</v>
      </c>
      <c r="C20" s="17">
        <v>-100</v>
      </c>
      <c r="D20" s="17">
        <f>B20+C20</f>
        <v>1016</v>
      </c>
      <c r="E20" s="17">
        <f>B20+E19</f>
        <v>988</v>
      </c>
      <c r="F20" s="17">
        <f>C20+F19</f>
        <v>-1397</v>
      </c>
      <c r="G20" s="17">
        <f>D20+G19</f>
        <v>-409</v>
      </c>
      <c r="H20" s="32"/>
      <c r="I20" s="32"/>
      <c r="J20" s="32"/>
    </row>
    <row r="21" ht="20.05" customHeight="1">
      <c r="A21" s="31">
        <f>1+$A20</f>
        <v>2016</v>
      </c>
      <c r="B21" s="16">
        <f>-1196-C21</f>
        <v>-670</v>
      </c>
      <c r="C21" s="17">
        <v>-526</v>
      </c>
      <c r="D21" s="17">
        <f>B21+C21</f>
        <v>-1196</v>
      </c>
      <c r="E21" s="17">
        <f>B21+E20</f>
        <v>318</v>
      </c>
      <c r="F21" s="17">
        <f>C21+F20</f>
        <v>-1923</v>
      </c>
      <c r="G21" s="17">
        <f>D21+G20</f>
        <v>-1605</v>
      </c>
      <c r="H21" s="32"/>
      <c r="I21" s="32"/>
      <c r="J21" s="32"/>
    </row>
    <row r="22" ht="20.05" customHeight="1">
      <c r="A22" s="31">
        <f>1+$A21</f>
        <v>2017</v>
      </c>
      <c r="B22" s="16">
        <f>-982-C22</f>
        <v>-403</v>
      </c>
      <c r="C22" s="21">
        <v>-579</v>
      </c>
      <c r="D22" s="17">
        <f>B22+C22</f>
        <v>-982</v>
      </c>
      <c r="E22" s="17">
        <f>B22+E21</f>
        <v>-85</v>
      </c>
      <c r="F22" s="17">
        <f>C22+F21</f>
        <v>-2502</v>
      </c>
      <c r="G22" s="17">
        <f>D22+G21</f>
        <v>-2587</v>
      </c>
      <c r="H22" s="32"/>
      <c r="I22" s="32"/>
      <c r="J22" s="32"/>
    </row>
    <row r="23" ht="20.05" customHeight="1">
      <c r="A23" s="31">
        <f>1+$A22</f>
        <v>2018</v>
      </c>
      <c r="B23" s="16">
        <v>-144</v>
      </c>
      <c r="C23" s="17">
        <v>-650</v>
      </c>
      <c r="D23" s="17">
        <f>B23+C23</f>
        <v>-794</v>
      </c>
      <c r="E23" s="17">
        <f>B23+E22</f>
        <v>-229</v>
      </c>
      <c r="F23" s="17">
        <f>C23+F22</f>
        <v>-3152</v>
      </c>
      <c r="G23" s="17">
        <f>D23+G22</f>
        <v>-3381</v>
      </c>
      <c r="H23" s="32"/>
      <c r="I23" s="32"/>
      <c r="J23" s="32"/>
    </row>
    <row r="24" ht="20.05" customHeight="1">
      <c r="A24" s="31">
        <f>1+$A23</f>
        <v>2019</v>
      </c>
      <c r="B24" s="16"/>
      <c r="C24" s="17">
        <v>-800</v>
      </c>
      <c r="D24" s="17">
        <f>B24+C24</f>
        <v>-800</v>
      </c>
      <c r="E24" s="17">
        <f>B24+E23</f>
        <v>-229</v>
      </c>
      <c r="F24" s="17">
        <f>C24+F23</f>
        <v>-3952</v>
      </c>
      <c r="G24" s="17">
        <f>D24+G23</f>
        <v>-4181</v>
      </c>
      <c r="H24" s="32"/>
      <c r="I24" s="32"/>
      <c r="J24" s="32"/>
    </row>
    <row r="25" ht="20.05" customHeight="1">
      <c r="A25" s="31">
        <f>1+$A24</f>
        <v>2020</v>
      </c>
      <c r="B25" s="16">
        <f>-670-C25</f>
        <v>331</v>
      </c>
      <c r="C25" s="17">
        <v>-1001</v>
      </c>
      <c r="D25" s="17">
        <f>B25+C25</f>
        <v>-670</v>
      </c>
      <c r="E25" s="17">
        <f>B25+E24</f>
        <v>102</v>
      </c>
      <c r="F25" s="17">
        <f>C25+F24</f>
        <v>-4953</v>
      </c>
      <c r="G25" s="17">
        <f>D25+G24</f>
        <v>-4851</v>
      </c>
      <c r="H25" s="32"/>
      <c r="I25" s="32"/>
      <c r="J25" s="32"/>
    </row>
    <row r="26" ht="20.05" customHeight="1">
      <c r="A26" s="31">
        <f>1+$A25</f>
        <v>2021</v>
      </c>
      <c r="B26" s="16">
        <f>SUM(' Cashflow'!I12:I15)</f>
        <v>-277</v>
      </c>
      <c r="C26" s="17">
        <f>SUM(' Cashflow'!J12:J15)</f>
        <v>-2100</v>
      </c>
      <c r="D26" s="17">
        <f>B26+C26</f>
        <v>-2377</v>
      </c>
      <c r="E26" s="17">
        <f>B26+E25</f>
        <v>-175</v>
      </c>
      <c r="F26" s="17">
        <f>C26+F25</f>
        <v>-7053</v>
      </c>
      <c r="G26" s="17">
        <f>D26+G25</f>
        <v>-7228</v>
      </c>
      <c r="H26" s="17">
        <f>AVERAGE(D12:D26)</f>
        <v>-481.866666666667</v>
      </c>
      <c r="I26" s="17">
        <f>AVERAGE(D22:D26)</f>
        <v>-1124.6</v>
      </c>
      <c r="J26" s="21">
        <f>SUM(' Cashflow'!I13:J16)</f>
        <v>-3081</v>
      </c>
    </row>
    <row r="27" ht="20.05" customHeight="1">
      <c r="A27" s="31">
        <f>1+$A26</f>
        <v>2022</v>
      </c>
      <c r="B27" s="16">
        <f>' Cashflow'!I16</f>
        <v>-285</v>
      </c>
      <c r="C27" s="17">
        <f>' Cashflow'!J16</f>
        <v>-2800</v>
      </c>
      <c r="D27" s="17">
        <f>B27+C27</f>
        <v>-3085</v>
      </c>
      <c r="E27" s="17">
        <f>B27+E26</f>
        <v>-460</v>
      </c>
      <c r="F27" s="17">
        <f>C27+F26</f>
        <v>-9853</v>
      </c>
      <c r="G27" s="17">
        <f>D27+G26</f>
        <v>-10313</v>
      </c>
      <c r="H27" s="32"/>
      <c r="I27" s="32"/>
      <c r="J27" s="32"/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