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<sst xmlns="http://schemas.openxmlformats.org/spreadsheetml/2006/main" uniqueCount="63">
  <si>
    <t>Financial model</t>
  </si>
  <si>
    <t>$m</t>
  </si>
  <si>
    <t>4Q 2022</t>
  </si>
  <si>
    <t>Cashflow</t>
  </si>
  <si>
    <t>Growth</t>
  </si>
  <si>
    <t>Sales</t>
  </si>
  <si>
    <t>Cost ratio</t>
  </si>
  <si>
    <t>Cash costs</t>
  </si>
  <si>
    <t>Operating</t>
  </si>
  <si>
    <t>Leases</t>
  </si>
  <si>
    <t xml:space="preserve">Investment </t>
  </si>
  <si>
    <t xml:space="preserve">Finance 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</si>
  <si>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</si>
  <si>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</si>
  <si>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</si>
  <si>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</si>
  <si>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</si>
  <si>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</si>
  <si>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</si>
  <si>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</si>
  <si>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</si>
  <si>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</si>
  <si>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</si>
  <si>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</si>
  <si>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</si>
  <si>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</si>
  <si>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</si>
  <si>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</si>
  <si>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</si>
  <si>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</si>
  <si>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>Rupiah</t>
  </si>
  <si>
    <t xml:space="preserve">Capital </t>
  </si>
  <si>
    <t xml:space="preserve">Current value </t>
  </si>
  <si>
    <t>P/assets</t>
  </si>
  <si>
    <t>Yield</t>
  </si>
  <si>
    <t>Payback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</si>
  <si>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</si>
  <si>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</si>
  <si>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</si>
  <si>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</si>
  <si>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</si>
  <si>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</si>
  <si>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</si>
  <si>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</si>
  <si>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 xml:space="preserve">Profit </t>
  </si>
  <si>
    <t xml:space="preserve">Sales growth </t>
  </si>
  <si>
    <t xml:space="preserve">Cost ratio </t>
  </si>
  <si>
    <t>Cashflow costs</t>
  </si>
  <si>
    <t>Receipts</t>
  </si>
  <si>
    <t xml:space="preserve">Operating </t>
  </si>
  <si>
    <t xml:space="preserve">Interest </t>
  </si>
  <si>
    <t>Finance</t>
  </si>
  <si>
    <t xml:space="preserve">Free cashflow </t>
  </si>
  <si>
    <t>Cash</t>
  </si>
  <si>
    <t>Assets</t>
  </si>
  <si>
    <t>Other assers</t>
  </si>
  <si>
    <t>Net cash</t>
  </si>
  <si>
    <t>Share price</t>
  </si>
  <si>
    <t>MDKA</t>
  </si>
  <si>
    <t>Target</t>
  </si>
  <si>
    <t xml:space="preserve">Previous </t>
  </si>
  <si>
    <t>Capital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</si>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</sst>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#,##0%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7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3" borderId="3" applyNumberFormat="1" applyFont="1" applyFill="0" applyBorder="1" applyAlignment="1" applyProtection="0">
      <alignment horizontal="right" vertical="center" wrapText="1" readingOrder="1"/>
    </xf>
    <xf numFmtId="0" fontId="3" borderId="6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03607"/>
          <c:y val="0.0446026"/>
          <c:w val="0.854157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'Capital '!$E$3:$E$12</c:f>
              <c:numCache>
                <c:ptCount val="10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120.070000</c:v>
                </c:pt>
                <c:pt idx="5">
                  <c:v>120.192000</c:v>
                </c:pt>
                <c:pt idx="6">
                  <c:v>81.903000</c:v>
                </c:pt>
                <c:pt idx="7">
                  <c:v>72.403000</c:v>
                </c:pt>
                <c:pt idx="8">
                  <c:v>48.628000</c:v>
                </c:pt>
                <c:pt idx="9">
                  <c:v>64.670000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'Capital '!$F$3:$F$12</c:f>
              <c:numCache>
                <c:ptCount val="10"/>
                <c:pt idx="0">
                  <c:v>6.202000</c:v>
                </c:pt>
                <c:pt idx="1">
                  <c:v>19.749000</c:v>
                </c:pt>
                <c:pt idx="2">
                  <c:v>26.451000</c:v>
                </c:pt>
                <c:pt idx="3">
                  <c:v>97.584000</c:v>
                </c:pt>
                <c:pt idx="4">
                  <c:v>97.584000</c:v>
                </c:pt>
                <c:pt idx="5">
                  <c:v>97.584000</c:v>
                </c:pt>
                <c:pt idx="6">
                  <c:v>189.265000</c:v>
                </c:pt>
                <c:pt idx="7">
                  <c:v>248.992000</c:v>
                </c:pt>
                <c:pt idx="8">
                  <c:v>250.657000</c:v>
                </c:pt>
                <c:pt idx="9">
                  <c:v>432.299000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'Capital '!$G$3:$G$12</c:f>
              <c:numCache>
                <c:ptCount val="10"/>
                <c:pt idx="0">
                  <c:v>6.202000</c:v>
                </c:pt>
                <c:pt idx="1">
                  <c:v>19.749000</c:v>
                </c:pt>
                <c:pt idx="2">
                  <c:v>26.451000</c:v>
                </c:pt>
                <c:pt idx="3">
                  <c:v>97.584000</c:v>
                </c:pt>
                <c:pt idx="4">
                  <c:v>217.654000</c:v>
                </c:pt>
                <c:pt idx="5">
                  <c:v>217.776000</c:v>
                </c:pt>
                <c:pt idx="6">
                  <c:v>271.168000</c:v>
                </c:pt>
                <c:pt idx="7">
                  <c:v>321.395000</c:v>
                </c:pt>
                <c:pt idx="8">
                  <c:v>299.285000</c:v>
                </c:pt>
                <c:pt idx="9">
                  <c:v>496.969000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25"/>
        <c:minorUnit val="62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975642"/>
          <c:y val="0.0912364"/>
          <c:w val="0.389278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482753</xdr:colOff>
      <xdr:row>1</xdr:row>
      <xdr:rowOff>135985</xdr:rowOff>
    </xdr:from>
    <xdr:to>
      <xdr:col>13</xdr:col>
      <xdr:colOff>552980</xdr:colOff>
      <xdr:row>47</xdr:row>
      <xdr:rowOff>132026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94453" y="381730"/>
          <a:ext cx="8782428" cy="118108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469357</xdr:colOff>
      <xdr:row>22</xdr:row>
      <xdr:rowOff>250614</xdr:rowOff>
    </xdr:from>
    <xdr:to>
      <xdr:col>5</xdr:col>
      <xdr:colOff>318544</xdr:colOff>
      <xdr:row>36</xdr:row>
      <xdr:rowOff>49510</xdr:rowOff>
    </xdr:to>
    <xdr:graphicFrame>
      <xdr:nvGraphicFramePr>
        <xdr:cNvPr id="4" name="2D Line Chart"/>
        <xdr:cNvGraphicFramePr/>
      </xdr:nvGraphicFramePr>
      <xdr:xfrm>
        <a:off x="469357" y="5935134"/>
        <a:ext cx="3494088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262897</xdr:colOff>
      <xdr:row>17</xdr:row>
      <xdr:rowOff>217276</xdr:rowOff>
    </xdr:from>
    <xdr:to>
      <xdr:col>5</xdr:col>
      <xdr:colOff>525004</xdr:colOff>
      <xdr:row>23</xdr:row>
      <xdr:rowOff>121598</xdr:rowOff>
    </xdr:to>
    <xdr:sp>
      <xdr:nvSpPr>
        <xdr:cNvPr id="5" name="MDKA HALF A BILLION DOLLARS RAISED MOSTLY EQUITY"/>
        <xdr:cNvSpPr txBox="1"/>
      </xdr:nvSpPr>
      <xdr:spPr>
        <a:xfrm>
          <a:off x="262897" y="4638146"/>
          <a:ext cx="3907008" cy="14207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MDKA HALF A BILLION DOLLARS RAISED MOSTLY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EQUITY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71094" style="1" customWidth="1"/>
    <col min="2" max="2" width="14.7656" style="1" customWidth="1"/>
    <col min="3" max="6" width="9.875" style="1" customWidth="1"/>
    <col min="7" max="16384" width="16.3516" style="1" customWidth="1"/>
  </cols>
  <sheetData>
    <row r="1" ht="19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AVERAGE('Sales'!G20:G23)</f>
        <v>0.528092205064557</v>
      </c>
      <c r="D4" s="8"/>
      <c r="E4" s="8"/>
      <c r="F4" s="9">
        <f>AVERAGE(C5:F5)</f>
        <v>0.0275</v>
      </c>
    </row>
    <row r="5" ht="20.05" customHeight="1">
      <c r="B5" t="s" s="10">
        <v>4</v>
      </c>
      <c r="C5" s="11">
        <v>-0.01</v>
      </c>
      <c r="D5" s="12">
        <v>0.03</v>
      </c>
      <c r="E5" s="12">
        <v>0.04</v>
      </c>
      <c r="F5" s="12">
        <v>0.05</v>
      </c>
    </row>
    <row r="6" ht="20.05" customHeight="1">
      <c r="B6" t="s" s="10">
        <v>5</v>
      </c>
      <c r="C6" s="13">
        <f>'Sales'!C23*(1+C5)</f>
        <v>118.602</v>
      </c>
      <c r="D6" s="14">
        <f>C6*(1+D5)</f>
        <v>122.16006</v>
      </c>
      <c r="E6" s="14">
        <f>D6*(1+E5)</f>
        <v>127.0464624</v>
      </c>
      <c r="F6" s="14">
        <f>E6*(1+F5)</f>
        <v>133.39878552</v>
      </c>
    </row>
    <row r="7" ht="20.05" customHeight="1">
      <c r="B7" t="s" s="10">
        <v>6</v>
      </c>
      <c r="C7" s="11">
        <f>AVERAGE('Sales'!I23)</f>
        <v>-0.611059672768116</v>
      </c>
      <c r="D7" s="12">
        <f>C7</f>
        <v>-0.611059672768116</v>
      </c>
      <c r="E7" s="12">
        <f>D7</f>
        <v>-0.611059672768116</v>
      </c>
      <c r="F7" s="12">
        <f>E7</f>
        <v>-0.611059672768116</v>
      </c>
    </row>
    <row r="8" ht="20.05" customHeight="1">
      <c r="B8" t="s" s="10">
        <v>7</v>
      </c>
      <c r="C8" s="15">
        <f>C7*C6</f>
        <v>-72.47289930964411</v>
      </c>
      <c r="D8" s="16">
        <f>D7*D6</f>
        <v>-74.64708628893339</v>
      </c>
      <c r="E8" s="16">
        <f>E7*E6</f>
        <v>-77.63296974049079</v>
      </c>
      <c r="F8" s="16">
        <f>F7*F6</f>
        <v>-81.5146182275153</v>
      </c>
    </row>
    <row r="9" ht="20.05" customHeight="1">
      <c r="B9" t="s" s="10">
        <v>8</v>
      </c>
      <c r="C9" s="17">
        <f>C6+C8</f>
        <v>46.1291006903559</v>
      </c>
      <c r="D9" s="18">
        <f>D6+D8</f>
        <v>47.5129737110666</v>
      </c>
      <c r="E9" s="18">
        <f>E6+E8</f>
        <v>49.4134926595092</v>
      </c>
      <c r="F9" s="18">
        <f>F6+F8</f>
        <v>51.8841672924847</v>
      </c>
    </row>
    <row r="10" ht="20.05" customHeight="1">
      <c r="B10" t="s" s="10">
        <v>9</v>
      </c>
      <c r="C10" s="17">
        <f>'Cashflow '!G31</f>
        <v>-5.5</v>
      </c>
      <c r="D10" s="18">
        <f>C10</f>
        <v>-5.5</v>
      </c>
      <c r="E10" s="18">
        <f>D10</f>
        <v>-5.5</v>
      </c>
      <c r="F10" s="18">
        <f>E10</f>
        <v>-5.5</v>
      </c>
    </row>
    <row r="11" ht="20.05" customHeight="1">
      <c r="B11" t="s" s="10">
        <v>10</v>
      </c>
      <c r="C11" s="17">
        <f>AVERAGE('Cashflow '!E26:E28)</f>
        <v>-18.2333333333333</v>
      </c>
      <c r="D11" s="18">
        <f>C11</f>
        <v>-18.2333333333333</v>
      </c>
      <c r="E11" s="18">
        <f>D11</f>
        <v>-18.2333333333333</v>
      </c>
      <c r="F11" s="18">
        <f>E11</f>
        <v>-18.2333333333333</v>
      </c>
    </row>
    <row r="12" ht="20.05" customHeight="1">
      <c r="B12" t="s" s="10">
        <v>11</v>
      </c>
      <c r="C12" s="17">
        <f>C13+C14+C16</f>
        <v>-27.8957673570226</v>
      </c>
      <c r="D12" s="18">
        <f>D13+D14+D16</f>
        <v>-29.2796403777333</v>
      </c>
      <c r="E12" s="18">
        <f>E13+E14+E16</f>
        <v>-30.5411373835236</v>
      </c>
      <c r="F12" s="18">
        <f>F13+F14+F16</f>
        <v>-28.1667564377454</v>
      </c>
    </row>
    <row r="13" ht="20.05" customHeight="1">
      <c r="B13" t="s" s="10">
        <v>12</v>
      </c>
      <c r="C13" s="17">
        <f>-('Balance sheet'!G27)/20</f>
        <v>-24.95</v>
      </c>
      <c r="D13" s="18">
        <f>-C27/20</f>
        <v>-23.7025</v>
      </c>
      <c r="E13" s="18">
        <f>-D27/20</f>
        <v>-22.517375</v>
      </c>
      <c r="F13" s="18">
        <f>-E27/20</f>
        <v>-21.39150625</v>
      </c>
    </row>
    <row r="14" ht="20.05" customHeight="1">
      <c r="B14" t="s" s="10">
        <v>13</v>
      </c>
      <c r="C14" s="17">
        <f>IF(C22&gt;0,-C22*0.3,0)</f>
        <v>-5.04873020710677</v>
      </c>
      <c r="D14" s="18">
        <f>IF(D22&gt;0,-D22*0.3,0)</f>
        <v>-5.46389211331998</v>
      </c>
      <c r="E14" s="18">
        <f>IF(E22&gt;0,-E22*0.3,0)</f>
        <v>-6.03404779785276</v>
      </c>
      <c r="F14" s="18">
        <f>IF(F22&gt;0,-F22*0.3,0)</f>
        <v>-6.77525018774541</v>
      </c>
    </row>
    <row r="15" ht="20.05" customHeight="1">
      <c r="B15" t="s" s="10">
        <v>14</v>
      </c>
      <c r="C15" s="17">
        <f>C9+C11+C13+C14</f>
        <v>-2.10296285008417</v>
      </c>
      <c r="D15" s="18">
        <f>D9+D11+D13+D14</f>
        <v>0.11324826441332</v>
      </c>
      <c r="E15" s="18">
        <f>E9+E11+E13+E14</f>
        <v>2.62873652832314</v>
      </c>
      <c r="F15" s="18">
        <f>F9+F11+F13+F14</f>
        <v>5.48407752140599</v>
      </c>
    </row>
    <row r="16" ht="20.05" customHeight="1">
      <c r="B16" t="s" s="10">
        <v>15</v>
      </c>
      <c r="C16" s="17">
        <f>-MIN(0,C15)</f>
        <v>2.10296285008417</v>
      </c>
      <c r="D16" s="18">
        <f>-MIN(C28,D15)</f>
        <v>-0.11324826441332</v>
      </c>
      <c r="E16" s="18">
        <f>-MIN(D28,E15)</f>
        <v>-1.98971458567085</v>
      </c>
      <c r="F16" s="18">
        <f>-MIN(E28,F15)</f>
        <v>0</v>
      </c>
    </row>
    <row r="17" ht="20.05" customHeight="1">
      <c r="B17" t="s" s="10">
        <v>16</v>
      </c>
      <c r="C17" s="17">
        <f>'Balance sheet'!C27</f>
        <v>185</v>
      </c>
      <c r="D17" s="18">
        <f>C19</f>
        <v>185</v>
      </c>
      <c r="E17" s="18">
        <f>D19</f>
        <v>185</v>
      </c>
      <c r="F17" s="18">
        <f>E19</f>
        <v>185.639021942652</v>
      </c>
    </row>
    <row r="18" ht="20.05" customHeight="1">
      <c r="B18" t="s" s="10">
        <v>17</v>
      </c>
      <c r="C18" s="17">
        <f>C9+C11+C12</f>
        <v>0</v>
      </c>
      <c r="D18" s="18">
        <f>D9+D11+D12</f>
        <v>0</v>
      </c>
      <c r="E18" s="18">
        <f>E9+E11+E12</f>
        <v>0.6390219426522999</v>
      </c>
      <c r="F18" s="18">
        <f>F9+F11+F12</f>
        <v>5.484077521406</v>
      </c>
    </row>
    <row r="19" ht="20.05" customHeight="1">
      <c r="B19" t="s" s="10">
        <v>18</v>
      </c>
      <c r="C19" s="17">
        <f>C17+C18</f>
        <v>185</v>
      </c>
      <c r="D19" s="18">
        <f>D17+D18</f>
        <v>185</v>
      </c>
      <c r="E19" s="18">
        <f>E17+E18</f>
        <v>185.639021942652</v>
      </c>
      <c r="F19" s="18">
        <f>F17+F18</f>
        <v>191.123099464058</v>
      </c>
    </row>
    <row r="20" ht="20.05" customHeight="1">
      <c r="B20" t="s" s="19">
        <v>19</v>
      </c>
      <c r="C20" s="20"/>
      <c r="D20" s="21"/>
      <c r="E20" s="21"/>
      <c r="F20" s="22"/>
    </row>
    <row r="21" ht="20.05" customHeight="1">
      <c r="B21" t="s" s="10">
        <v>20</v>
      </c>
      <c r="C21" s="17">
        <f>-AVERAGE('Sales'!E20:E23)</f>
        <v>-29.3</v>
      </c>
      <c r="D21" s="18">
        <f>C21</f>
        <v>-29.3</v>
      </c>
      <c r="E21" s="18">
        <f>D21</f>
        <v>-29.3</v>
      </c>
      <c r="F21" s="18">
        <f>E21</f>
        <v>-29.3</v>
      </c>
    </row>
    <row r="22" ht="20.05" customHeight="1">
      <c r="B22" t="s" s="10">
        <v>21</v>
      </c>
      <c r="C22" s="17">
        <f>C6+C8+C21</f>
        <v>16.8291006903559</v>
      </c>
      <c r="D22" s="18">
        <f>D6+D8+D21</f>
        <v>18.2129737110666</v>
      </c>
      <c r="E22" s="18">
        <f>E6+E8+E21</f>
        <v>20.1134926595092</v>
      </c>
      <c r="F22" s="18">
        <f>F6+F8+F21</f>
        <v>22.5841672924847</v>
      </c>
    </row>
    <row r="23" ht="20.05" customHeight="1">
      <c r="B23" t="s" s="19">
        <v>22</v>
      </c>
      <c r="C23" s="15"/>
      <c r="D23" s="16"/>
      <c r="E23" s="16"/>
      <c r="F23" s="18"/>
    </row>
    <row r="24" ht="20.05" customHeight="1">
      <c r="B24" t="s" s="10">
        <v>23</v>
      </c>
      <c r="C24" s="17">
        <f>'Balance sheet'!E27+'Balance sheet'!F27-C11</f>
        <v>1500.233333333330</v>
      </c>
      <c r="D24" s="18">
        <f>C24-D11</f>
        <v>1518.466666666660</v>
      </c>
      <c r="E24" s="18">
        <f>D24-E11</f>
        <v>1536.699999999990</v>
      </c>
      <c r="F24" s="18">
        <f>E24-F11</f>
        <v>1554.933333333320</v>
      </c>
    </row>
    <row r="25" ht="20.05" customHeight="1">
      <c r="B25" t="s" s="10">
        <v>24</v>
      </c>
      <c r="C25" s="17">
        <f>'Balance sheet'!F27-C21</f>
        <v>417.3</v>
      </c>
      <c r="D25" s="18">
        <f>C25-D21</f>
        <v>446.6</v>
      </c>
      <c r="E25" s="18">
        <f>D25-E21</f>
        <v>475.9</v>
      </c>
      <c r="F25" s="18">
        <f>E25-F21</f>
        <v>505.2</v>
      </c>
    </row>
    <row r="26" ht="20.05" customHeight="1">
      <c r="B26" t="s" s="10">
        <v>25</v>
      </c>
      <c r="C26" s="17">
        <f>C24-C25</f>
        <v>1082.933333333330</v>
      </c>
      <c r="D26" s="18">
        <f>D24-D25</f>
        <v>1071.866666666660</v>
      </c>
      <c r="E26" s="18">
        <f>E24-E25</f>
        <v>1060.799999999990</v>
      </c>
      <c r="F26" s="18">
        <f>F24-F25</f>
        <v>1049.733333333320</v>
      </c>
    </row>
    <row r="27" ht="20.05" customHeight="1">
      <c r="B27" t="s" s="10">
        <v>12</v>
      </c>
      <c r="C27" s="17">
        <f>'Balance sheet'!G27+C13</f>
        <v>474.05</v>
      </c>
      <c r="D27" s="18">
        <f>C27+D13</f>
        <v>450.3475</v>
      </c>
      <c r="E27" s="18">
        <f>D27+E13</f>
        <v>427.830125</v>
      </c>
      <c r="F27" s="18">
        <f>E27+F13</f>
        <v>406.43861875</v>
      </c>
    </row>
    <row r="28" ht="20.05" customHeight="1">
      <c r="B28" t="s" s="10">
        <v>15</v>
      </c>
      <c r="C28" s="17">
        <f>C16</f>
        <v>2.10296285008417</v>
      </c>
      <c r="D28" s="18">
        <f>C28+D16</f>
        <v>1.98971458567085</v>
      </c>
      <c r="E28" s="18">
        <f>D28+E16</f>
        <v>0</v>
      </c>
      <c r="F28" s="18">
        <f>E28+F16</f>
        <v>0</v>
      </c>
    </row>
    <row r="29" ht="20.05" customHeight="1">
      <c r="B29" t="s" s="10">
        <v>26</v>
      </c>
      <c r="C29" s="17">
        <f>'Balance sheet'!H27+C22+C14</f>
        <v>791.780370483249</v>
      </c>
      <c r="D29" s="18">
        <f>C29+D22+D14</f>
        <v>804.529452080996</v>
      </c>
      <c r="E29" s="18">
        <f>D29+E22+E14</f>
        <v>818.608896942652</v>
      </c>
      <c r="F29" s="18">
        <f>E29+F22+F14</f>
        <v>834.4178140473909</v>
      </c>
    </row>
    <row r="30" ht="20.05" customHeight="1">
      <c r="B30" t="s" s="10">
        <v>27</v>
      </c>
      <c r="C30" s="17">
        <f>C27+C28+C29-C19-C26</f>
        <v>3.17e-12</v>
      </c>
      <c r="D30" s="18">
        <f>D27+D28+D29-D19-D26</f>
        <v>6.85e-12</v>
      </c>
      <c r="E30" s="18">
        <f>E27+E28+E29-E19-E26</f>
        <v>9.999999999999999e-12</v>
      </c>
      <c r="F30" s="18">
        <f>F27+F28+F29-F19-F26</f>
        <v>1.3e-11</v>
      </c>
    </row>
    <row r="31" ht="20.05" customHeight="1">
      <c r="B31" t="s" s="10">
        <v>28</v>
      </c>
      <c r="C31" s="17">
        <f>C19-C27-C28</f>
        <v>-291.152962850084</v>
      </c>
      <c r="D31" s="18">
        <f>D19-D27-D28</f>
        <v>-267.337214585671</v>
      </c>
      <c r="E31" s="18">
        <f>E19-E27-E28</f>
        <v>-242.191103057348</v>
      </c>
      <c r="F31" s="18">
        <f>F19-F27-F28</f>
        <v>-215.315519285942</v>
      </c>
    </row>
    <row r="32" ht="20.05" customHeight="1">
      <c r="B32" t="s" s="19">
        <v>29</v>
      </c>
      <c r="C32" s="17"/>
      <c r="D32" s="18"/>
      <c r="E32" s="18"/>
      <c r="F32" s="18"/>
    </row>
    <row r="33" ht="20.05" customHeight="1">
      <c r="B33" t="s" s="10">
        <v>30</v>
      </c>
      <c r="C33" s="17"/>
      <c r="D33" s="18"/>
      <c r="E33" s="18"/>
      <c r="F33" s="18">
        <v>14</v>
      </c>
    </row>
    <row r="34" ht="20.05" customHeight="1">
      <c r="B34" t="s" s="10">
        <v>31</v>
      </c>
      <c r="C34" s="17">
        <f>'Cashflow '!N31-(C12-C10)</f>
        <v>-570.5042326429769</v>
      </c>
      <c r="D34" s="18">
        <f>C34-(D12-D10)</f>
        <v>-546.724592265244</v>
      </c>
      <c r="E34" s="18">
        <f>D34-(E12-E10)</f>
        <v>-521.683454881720</v>
      </c>
      <c r="F34" s="18">
        <f>E34-(F12-F10)</f>
        <v>-499.016698443975</v>
      </c>
    </row>
    <row r="35" ht="20.05" customHeight="1">
      <c r="B35" t="s" s="10">
        <v>32</v>
      </c>
      <c r="C35" s="17"/>
      <c r="D35" s="18"/>
      <c r="E35" s="18"/>
      <c r="F35" s="18">
        <f>85890/F33</f>
        <v>6135</v>
      </c>
    </row>
    <row r="36" ht="20.05" customHeight="1">
      <c r="B36" t="s" s="10">
        <v>33</v>
      </c>
      <c r="C36" s="17"/>
      <c r="D36" s="18"/>
      <c r="E36" s="18"/>
      <c r="F36" s="23">
        <f>F35/(F19+F26)</f>
        <v>4.94416585016955</v>
      </c>
    </row>
    <row r="37" ht="20.05" customHeight="1">
      <c r="B37" t="s" s="10">
        <v>34</v>
      </c>
      <c r="C37" s="17"/>
      <c r="D37" s="18"/>
      <c r="E37" s="18"/>
      <c r="F37" s="24">
        <f>-(C14+D14+E14+F13)/F35</f>
        <v>0.00618389182857042</v>
      </c>
    </row>
    <row r="38" ht="20.05" customHeight="1">
      <c r="B38" t="s" s="10">
        <v>3</v>
      </c>
      <c r="C38" s="17"/>
      <c r="D38" s="18"/>
      <c r="E38" s="18"/>
      <c r="F38" s="18">
        <f>SUM(C9:F11)</f>
        <v>100.006401020083</v>
      </c>
    </row>
    <row r="39" ht="20.05" customHeight="1">
      <c r="B39" t="s" s="10">
        <v>35</v>
      </c>
      <c r="C39" s="17"/>
      <c r="D39" s="18"/>
      <c r="E39" s="18"/>
      <c r="F39" s="18">
        <f>'Balance sheet'!E27/F38</f>
        <v>10.9392997732246</v>
      </c>
    </row>
    <row r="40" ht="20.05" customHeight="1">
      <c r="B40" t="s" s="10">
        <v>29</v>
      </c>
      <c r="C40" s="17"/>
      <c r="D40" s="18"/>
      <c r="E40" s="18"/>
      <c r="F40" s="18">
        <f>F35/F38</f>
        <v>61.3460732255327</v>
      </c>
    </row>
    <row r="41" ht="20.05" customHeight="1">
      <c r="B41" t="s" s="10">
        <v>36</v>
      </c>
      <c r="C41" s="17"/>
      <c r="D41" s="18"/>
      <c r="E41" s="18"/>
      <c r="F41" s="18">
        <v>32</v>
      </c>
    </row>
    <row r="42" ht="20.05" customHeight="1">
      <c r="B42" t="s" s="10">
        <v>37</v>
      </c>
      <c r="C42" s="17"/>
      <c r="D42" s="18"/>
      <c r="E42" s="18"/>
      <c r="F42" s="18">
        <f>F38*F41</f>
        <v>3200.204832642660</v>
      </c>
    </row>
    <row r="43" ht="20.05" customHeight="1">
      <c r="B43" t="s" s="10">
        <v>38</v>
      </c>
      <c r="C43" s="17"/>
      <c r="D43" s="18"/>
      <c r="E43" s="18"/>
      <c r="F43" s="18">
        <f>85890/F45</f>
        <v>22.904</v>
      </c>
    </row>
    <row r="44" ht="20.05" customHeight="1">
      <c r="B44" t="s" s="10">
        <v>39</v>
      </c>
      <c r="C44" s="17"/>
      <c r="D44" s="18"/>
      <c r="E44" s="18"/>
      <c r="F44" s="18">
        <f>(F42/F43)*F33</f>
        <v>1956.115423375710</v>
      </c>
    </row>
    <row r="45" ht="20.05" customHeight="1">
      <c r="B45" t="s" s="10">
        <v>40</v>
      </c>
      <c r="C45" s="17"/>
      <c r="D45" s="18"/>
      <c r="E45" s="18"/>
      <c r="F45" s="18">
        <f>'Share price'!C20</f>
        <v>3750</v>
      </c>
    </row>
    <row r="46" ht="20.05" customHeight="1">
      <c r="B46" t="s" s="10">
        <v>41</v>
      </c>
      <c r="C46" s="17"/>
      <c r="D46" s="18"/>
      <c r="E46" s="18"/>
      <c r="F46" s="24">
        <f>F44/F45-1</f>
        <v>-0.478369220433144</v>
      </c>
    </row>
    <row r="47" ht="20.05" customHeight="1">
      <c r="B47" t="s" s="10">
        <v>42</v>
      </c>
      <c r="C47" s="17"/>
      <c r="D47" s="18"/>
      <c r="E47" s="18"/>
      <c r="F47" s="24">
        <f>'Sales'!C23/'Sales'!C19-1</f>
        <v>3.72285736813057</v>
      </c>
    </row>
    <row r="48" ht="20.05" customHeight="1">
      <c r="B48" t="s" s="10">
        <v>43</v>
      </c>
      <c r="C48" s="17"/>
      <c r="D48" s="18"/>
      <c r="E48" s="18"/>
      <c r="F48" s="24">
        <f>('Sales'!D16+'Sales'!D23+'Sales'!D22+'Sales'!D17+'Sales'!D18+'Sales'!D19+'Sales'!D20+'Sales'!D21)/('Sales'!C16+'Sales'!C17+'Sales'!C18+'Sales'!C19+'Sales'!C20+'Sales'!C22+'Sales'!C23+'Sales'!C21)-1</f>
        <v>0.141463935125907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4844" style="25" customWidth="1"/>
    <col min="2" max="2" width="10.3984" style="25" customWidth="1"/>
    <col min="3" max="11" width="9.55469" style="25" customWidth="1"/>
    <col min="12" max="16384" width="16.3516" style="25" customWidth="1"/>
  </cols>
  <sheetData>
    <row r="1" ht="13.4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44</v>
      </c>
      <c r="G3" t="s" s="5">
        <v>45</v>
      </c>
      <c r="H3" t="s" s="5">
        <v>46</v>
      </c>
      <c r="I3" t="s" s="5">
        <v>46</v>
      </c>
      <c r="J3" t="s" s="5">
        <v>36</v>
      </c>
      <c r="K3" t="s" s="5">
        <v>47</v>
      </c>
    </row>
    <row r="4" ht="20.25" customHeight="1">
      <c r="B4" s="26">
        <v>2017</v>
      </c>
      <c r="C4" s="27"/>
      <c r="D4" s="28"/>
      <c r="E4" s="28"/>
      <c r="F4" s="28"/>
      <c r="G4" s="9"/>
      <c r="H4" s="9"/>
      <c r="I4" s="9"/>
      <c r="J4" s="9"/>
      <c r="K4" s="9"/>
    </row>
    <row r="5" ht="20.05" customHeight="1">
      <c r="B5" s="29"/>
      <c r="C5" s="17">
        <v>9</v>
      </c>
      <c r="D5" s="18"/>
      <c r="E5" s="18">
        <v>2.94</v>
      </c>
      <c r="F5" s="18">
        <v>0</v>
      </c>
      <c r="G5" s="12"/>
      <c r="H5" s="12">
        <f>(E5+F5-C5)/C5</f>
        <v>-0.673333333333333</v>
      </c>
      <c r="I5" s="12"/>
      <c r="J5" s="12"/>
      <c r="K5" s="12">
        <f>('Cashflow '!D13+'Cashflow '!F13-'Cashflow '!C13)/'Cashflow '!C13</f>
        <v>-1.20511111111111</v>
      </c>
    </row>
    <row r="6" ht="20.05" customHeight="1">
      <c r="B6" s="29"/>
      <c r="C6" s="17">
        <v>50</v>
      </c>
      <c r="D6" s="18"/>
      <c r="E6" s="18">
        <v>11</v>
      </c>
      <c r="F6" s="18">
        <v>20</v>
      </c>
      <c r="G6" s="12">
        <f>C6/C5-1</f>
        <v>4.55555555555556</v>
      </c>
      <c r="H6" s="12">
        <f>(E6+F6-C6)/C6</f>
        <v>-0.38</v>
      </c>
      <c r="I6" s="12"/>
      <c r="J6" s="12"/>
      <c r="K6" s="12">
        <f>('Cashflow '!D14+'Cashflow '!F14-'Cashflow '!C14)/'Cashflow '!C14</f>
        <v>-0.442553191489362</v>
      </c>
    </row>
    <row r="7" ht="20.05" customHeight="1">
      <c r="B7" s="29"/>
      <c r="C7" s="17">
        <v>70</v>
      </c>
      <c r="D7" s="18"/>
      <c r="E7" s="18">
        <v>10</v>
      </c>
      <c r="F7" s="18">
        <v>25</v>
      </c>
      <c r="G7" s="12">
        <f>C7/C6-1</f>
        <v>0.4</v>
      </c>
      <c r="H7" s="12">
        <f>(E7+F7-C7)/C7</f>
        <v>-0.5</v>
      </c>
      <c r="I7" s="12"/>
      <c r="J7" s="12"/>
      <c r="K7" s="12">
        <f>('Cashflow '!D15+'Cashflow '!F15-'Cashflow '!C15)/'Cashflow '!C15</f>
        <v>-0.366233766233766</v>
      </c>
    </row>
    <row r="8" ht="20.05" customHeight="1">
      <c r="B8" s="30">
        <v>2018</v>
      </c>
      <c r="C8" s="17">
        <v>72</v>
      </c>
      <c r="D8" s="18"/>
      <c r="E8" s="18">
        <v>5</v>
      </c>
      <c r="F8" s="18">
        <v>25</v>
      </c>
      <c r="G8" s="12">
        <f>C8/C7-1</f>
        <v>0.0285714285714286</v>
      </c>
      <c r="H8" s="12">
        <f>(E8+F8-C8)/C8</f>
        <v>-0.583333333333333</v>
      </c>
      <c r="I8" s="12">
        <f>AVERAGE(H5:H8)</f>
        <v>-0.534166666666667</v>
      </c>
      <c r="J8" s="12"/>
      <c r="K8" s="12">
        <f>('Cashflow '!D16+'Cashflow '!F16-'Cashflow '!C16)/'Cashflow '!C16</f>
        <v>-0.494202898550725</v>
      </c>
    </row>
    <row r="9" ht="20.05" customHeight="1">
      <c r="B9" s="29"/>
      <c r="C9" s="17">
        <v>43</v>
      </c>
      <c r="D9" s="18"/>
      <c r="E9" s="18">
        <v>30</v>
      </c>
      <c r="F9" s="18">
        <v>9</v>
      </c>
      <c r="G9" s="12">
        <f>C9/C8-1</f>
        <v>-0.402777777777778</v>
      </c>
      <c r="H9" s="12">
        <f>(E9+F9-C9)/C9</f>
        <v>-0.0930232558139535</v>
      </c>
      <c r="I9" s="12">
        <f>AVERAGE(H6:H9)</f>
        <v>-0.389089147286822</v>
      </c>
      <c r="J9" s="12"/>
      <c r="K9" s="12">
        <f>('Cashflow '!D17+'Cashflow '!F17-'Cashflow '!C17)/'Cashflow '!C17</f>
        <v>-1.48958333333333</v>
      </c>
    </row>
    <row r="10" ht="20.05" customHeight="1">
      <c r="B10" s="29"/>
      <c r="C10" s="17">
        <v>101</v>
      </c>
      <c r="D10" s="18"/>
      <c r="E10" s="18">
        <v>48</v>
      </c>
      <c r="F10" s="18">
        <v>21</v>
      </c>
      <c r="G10" s="12">
        <f>C10/C9-1</f>
        <v>1.34883720930233</v>
      </c>
      <c r="H10" s="12">
        <f>(E10+F10-C10)/C10</f>
        <v>-0.316831683168317</v>
      </c>
      <c r="I10" s="12">
        <f>AVERAGE(H7:H10)</f>
        <v>-0.373297068078901</v>
      </c>
      <c r="J10" s="12"/>
      <c r="K10" s="12">
        <f>('Cashflow '!D18+'Cashflow '!F18-'Cashflow '!C18)/'Cashflow '!C18</f>
        <v>-0.678217821782178</v>
      </c>
    </row>
    <row r="11" ht="20.05" customHeight="1">
      <c r="B11" s="29"/>
      <c r="C11" s="17">
        <v>78</v>
      </c>
      <c r="D11" s="18"/>
      <c r="E11" s="18">
        <v>7</v>
      </c>
      <c r="F11" s="18">
        <v>3</v>
      </c>
      <c r="G11" s="12">
        <f>C11/C10-1</f>
        <v>-0.227722772277228</v>
      </c>
      <c r="H11" s="12">
        <f>(E11+F11-C11)/C11</f>
        <v>-0.871794871794872</v>
      </c>
      <c r="I11" s="12">
        <f>AVERAGE(H8:H11)</f>
        <v>-0.466245786027619</v>
      </c>
      <c r="J11" s="12"/>
      <c r="K11" s="12">
        <f>('Cashflow '!D19+'Cashflow '!F19-'Cashflow '!C19)/'Cashflow '!C19</f>
        <v>-1.15584415584416</v>
      </c>
    </row>
    <row r="12" ht="20.05" customHeight="1">
      <c r="B12" s="30">
        <v>2019</v>
      </c>
      <c r="C12" s="17">
        <v>92</v>
      </c>
      <c r="D12" s="18"/>
      <c r="E12" s="18">
        <v>17</v>
      </c>
      <c r="F12" s="18">
        <v>21</v>
      </c>
      <c r="G12" s="12">
        <f>C12/C11-1</f>
        <v>0.179487179487179</v>
      </c>
      <c r="H12" s="12">
        <f>(E12+F12-C12)/C12</f>
        <v>-0.58695652173913</v>
      </c>
      <c r="I12" s="12">
        <f>AVERAGE(H9:H12)</f>
        <v>-0.467151583129068</v>
      </c>
      <c r="J12" s="12"/>
      <c r="K12" s="12">
        <f>('Cashflow '!D20+'Cashflow '!F20-'Cashflow '!C20)/'Cashflow '!C20</f>
        <v>-0.480909090909091</v>
      </c>
    </row>
    <row r="13" ht="20.05" customHeight="1">
      <c r="B13" s="29"/>
      <c r="C13" s="17">
        <v>100</v>
      </c>
      <c r="D13" s="18"/>
      <c r="E13" s="18">
        <v>20</v>
      </c>
      <c r="F13" s="18">
        <v>24</v>
      </c>
      <c r="G13" s="12">
        <f>C13/C12-1</f>
        <v>0.0869565217391304</v>
      </c>
      <c r="H13" s="12">
        <f>(E13+F13-C13)/C13</f>
        <v>-0.5600000000000001</v>
      </c>
      <c r="I13" s="12">
        <f>AVERAGE(H10:H13)</f>
        <v>-0.5838957691755799</v>
      </c>
      <c r="J13" s="12"/>
      <c r="K13" s="12">
        <f>('Cashflow '!D21+'Cashflow '!F21-'Cashflow '!C21)/'Cashflow '!C21</f>
        <v>-0.911392405063291</v>
      </c>
    </row>
    <row r="14" ht="20.05" customHeight="1">
      <c r="B14" s="29"/>
      <c r="C14" s="17">
        <v>132</v>
      </c>
      <c r="D14" s="18"/>
      <c r="E14" s="18">
        <v>29</v>
      </c>
      <c r="F14" s="18">
        <v>24</v>
      </c>
      <c r="G14" s="12">
        <f>C14/C13-1</f>
        <v>0.32</v>
      </c>
      <c r="H14" s="12">
        <f>(E14+F14-C14)/C14</f>
        <v>-0.598484848484848</v>
      </c>
      <c r="I14" s="12">
        <f>AVERAGE(H11:H14)</f>
        <v>-0.654309060504713</v>
      </c>
      <c r="J14" s="12"/>
      <c r="K14" s="12">
        <f>('Cashflow '!D22+'Cashflow '!F22-'Cashflow '!C22)/'Cashflow '!C22</f>
        <v>-0.89469696969697</v>
      </c>
    </row>
    <row r="15" ht="20.05" customHeight="1">
      <c r="B15" s="29"/>
      <c r="C15" s="17">
        <v>78</v>
      </c>
      <c r="D15" s="18"/>
      <c r="E15" s="18">
        <v>27</v>
      </c>
      <c r="F15" s="18">
        <v>0</v>
      </c>
      <c r="G15" s="12">
        <f>C15/C14-1</f>
        <v>-0.409090909090909</v>
      </c>
      <c r="H15" s="12">
        <f>(E15+F15-C15)/C15</f>
        <v>-0.653846153846154</v>
      </c>
      <c r="I15" s="12">
        <f>AVERAGE(H12:H15)</f>
        <v>-0.599821881017533</v>
      </c>
      <c r="J15" s="12"/>
      <c r="K15" s="12">
        <f>('Cashflow '!D23+'Cashflow '!F23-'Cashflow '!C23)/'Cashflow '!C23</f>
        <v>-0.849557522123894</v>
      </c>
    </row>
    <row r="16" ht="20.05" customHeight="1">
      <c r="B16" s="30">
        <v>2020</v>
      </c>
      <c r="C16" s="17">
        <v>103.786</v>
      </c>
      <c r="D16" s="18">
        <v>113.2</v>
      </c>
      <c r="E16" s="18">
        <v>20</v>
      </c>
      <c r="F16" s="18">
        <v>14</v>
      </c>
      <c r="G16" s="12">
        <f>C16/C15-1</f>
        <v>0.330589743589744</v>
      </c>
      <c r="H16" s="12">
        <f>(E16+F16-C16)/C16</f>
        <v>-0.672402828897925</v>
      </c>
      <c r="I16" s="12">
        <f>AVERAGE(H13:H16)</f>
        <v>-0.6211834578072321</v>
      </c>
      <c r="J16" s="12"/>
      <c r="K16" s="12">
        <f>('Cashflow '!D24+'Cashflow '!F24-'Cashflow '!C24)/'Cashflow '!C24</f>
        <v>-0.6972477064220181</v>
      </c>
    </row>
    <row r="17" ht="20.05" customHeight="1">
      <c r="B17" s="29"/>
      <c r="C17" s="17">
        <v>95.02500000000001</v>
      </c>
      <c r="D17" s="18">
        <v>110</v>
      </c>
      <c r="E17" s="18">
        <v>15.139</v>
      </c>
      <c r="F17" s="18">
        <v>21.417</v>
      </c>
      <c r="G17" s="12">
        <f>C17/C16-1</f>
        <v>-0.084414082824273</v>
      </c>
      <c r="H17" s="12">
        <f>(E17+F17-C17)/C17</f>
        <v>-0.615301236516706</v>
      </c>
      <c r="I17" s="12">
        <f>AVERAGE(H14:H17)</f>
        <v>-0.635008766936408</v>
      </c>
      <c r="J17" s="12"/>
      <c r="K17" s="12">
        <f>('Cashflow '!D25+'Cashflow '!F25-'Cashflow '!C25)/'Cashflow '!C25</f>
        <v>-0.83695652173913</v>
      </c>
    </row>
    <row r="18" ht="20.05" customHeight="1">
      <c r="B18" s="29"/>
      <c r="C18" s="17">
        <f>296.534-SUM(C16:C17)</f>
        <v>97.723</v>
      </c>
      <c r="D18" s="18">
        <v>119</v>
      </c>
      <c r="E18" s="18">
        <f>51-SUM(E16:E17)</f>
        <v>15.861</v>
      </c>
      <c r="F18" s="18">
        <f>51.346-SUM(F16:F17)</f>
        <v>15.929</v>
      </c>
      <c r="G18" s="12">
        <f>C18/C17-1</f>
        <v>0.028392528282031</v>
      </c>
      <c r="H18" s="12">
        <f>(E18+F18-C18)/C18</f>
        <v>-0.67469275400878</v>
      </c>
      <c r="I18" s="12">
        <f>AVERAGE(H15:H18)</f>
        <v>-0.6540607433173909</v>
      </c>
      <c r="J18" s="12"/>
      <c r="K18" s="12">
        <f>('Cashflow '!D26+'Cashflow '!F26-'Cashflow '!C26)/'Cashflow '!C26</f>
        <v>-0.644859813084112</v>
      </c>
    </row>
    <row r="19" ht="20.05" customHeight="1">
      <c r="B19" s="29"/>
      <c r="C19" s="17">
        <f>321.9-SUM(C16:C18)</f>
        <v>25.366</v>
      </c>
      <c r="D19" s="18">
        <v>109.4</v>
      </c>
      <c r="E19" s="18">
        <f>57.7-SUM(E16:E18)</f>
        <v>6.7</v>
      </c>
      <c r="F19" s="18">
        <f>28.9-SUM(F16:F18)</f>
        <v>-22.446</v>
      </c>
      <c r="G19" s="12">
        <f>C19/C18-1</f>
        <v>-0.740429581572404</v>
      </c>
      <c r="H19" s="12">
        <f>(E19+F19-C19)/C19</f>
        <v>-1.62075218796815</v>
      </c>
      <c r="I19" s="12">
        <f>AVERAGE(H16:H19)</f>
        <v>-0.89578725184789</v>
      </c>
      <c r="J19" s="12"/>
      <c r="K19" s="12">
        <f>('Cashflow '!D27+'Cashflow '!F27-'Cashflow '!C27)/'Cashflow '!C27</f>
        <v>-0.373085010513668</v>
      </c>
    </row>
    <row r="20" ht="20.05" customHeight="1">
      <c r="B20" s="30">
        <v>2021</v>
      </c>
      <c r="C20" s="17">
        <v>46.5</v>
      </c>
      <c r="D20" s="18">
        <v>63.415</v>
      </c>
      <c r="E20" s="18">
        <v>20.5</v>
      </c>
      <c r="F20" s="18">
        <v>-6.3</v>
      </c>
      <c r="G20" s="12">
        <f>C20/C19-1</f>
        <v>0.833162500985571</v>
      </c>
      <c r="H20" s="12">
        <f>(E20+F20-C20)/C20</f>
        <v>-0.694623655913978</v>
      </c>
      <c r="I20" s="12">
        <f>AVERAGE(H17:H20)</f>
        <v>-0.901342458601904</v>
      </c>
      <c r="J20" s="12"/>
      <c r="K20" s="12">
        <f>('Cashflow '!D28+'Cashflow '!F28-'Cashflow '!C28)/'Cashflow '!C28</f>
        <v>-1.49448123620309</v>
      </c>
    </row>
    <row r="21" ht="20.05" customHeight="1">
      <c r="B21" s="29"/>
      <c r="C21" s="17">
        <f>135.4-C20</f>
        <v>88.90000000000001</v>
      </c>
      <c r="D21" s="18">
        <v>51.15</v>
      </c>
      <c r="E21" s="18">
        <f>56-E20</f>
        <v>35.5</v>
      </c>
      <c r="F21" s="18">
        <f>3.3-F20</f>
        <v>9.6</v>
      </c>
      <c r="G21" s="12">
        <f>C21/C20-1</f>
        <v>0.911827956989247</v>
      </c>
      <c r="H21" s="12">
        <f>(E21+F21-C21)/C21</f>
        <v>-0.492688413948256</v>
      </c>
      <c r="I21" s="12">
        <f>AVERAGE(H18:H21)</f>
        <v>-0.870689252959791</v>
      </c>
      <c r="J21" s="12"/>
      <c r="K21" s="12">
        <f>('Cashflow '!D29+'Cashflow '!F29-'Cashflow '!C29)/'Cashflow '!C29</f>
        <v>-0.814903846153846</v>
      </c>
    </row>
    <row r="22" ht="20.05" customHeight="1">
      <c r="B22" s="29"/>
      <c r="C22" s="15">
        <f>261.2-SUM(C20:C21)</f>
        <v>125.8</v>
      </c>
      <c r="D22" s="16">
        <v>97.79000000000001</v>
      </c>
      <c r="E22" s="16">
        <f>88.6-SUM(E20:E21)</f>
        <v>32.6</v>
      </c>
      <c r="F22" s="16">
        <f>18.5-SUM(F20:F21)</f>
        <v>15.2</v>
      </c>
      <c r="G22" s="12">
        <f>C22/C21-1</f>
        <v>0.415073115860517</v>
      </c>
      <c r="H22" s="12">
        <f>(E22+F22-C22)/C22</f>
        <v>-0.620031796502385</v>
      </c>
      <c r="I22" s="12">
        <f>AVERAGE(H19:H22)</f>
        <v>-0.857024013583192</v>
      </c>
      <c r="J22" s="12"/>
      <c r="K22" s="12">
        <f>('Cashflow '!D30+'Cashflow '!F30-'Cashflow '!C30)/'Cashflow '!C30</f>
        <v>-0.438907849829352</v>
      </c>
    </row>
    <row r="23" ht="20.05" customHeight="1">
      <c r="B23" s="29"/>
      <c r="C23" s="15">
        <f>381-SUM(C20:C22)</f>
        <v>119.8</v>
      </c>
      <c r="D23" s="16">
        <v>138.38</v>
      </c>
      <c r="E23" s="16">
        <f>117.2-SUM(E20:E22)</f>
        <v>28.6</v>
      </c>
      <c r="F23" s="16">
        <f>33.4-SUM(F20:F22)</f>
        <v>14.9</v>
      </c>
      <c r="G23" s="12">
        <f>C23/C22-1</f>
        <v>-0.0476947535771065</v>
      </c>
      <c r="H23" s="12">
        <f>(E23+F23-C23)/C23</f>
        <v>-0.636894824707846</v>
      </c>
      <c r="I23" s="12">
        <f>AVERAGE(H20:H23)</f>
        <v>-0.611059672768116</v>
      </c>
      <c r="J23" s="12">
        <f>I23</f>
        <v>-0.611059672768116</v>
      </c>
      <c r="K23" s="12">
        <f>('Cashflow '!D31+'Cashflow '!F31-'Cashflow '!C31)/'Cashflow '!C31</f>
        <v>-0.649171270718232</v>
      </c>
    </row>
    <row r="24" ht="20.05" customHeight="1">
      <c r="B24" s="30">
        <v>2022</v>
      </c>
      <c r="C24" s="15"/>
      <c r="D24" s="16">
        <f>'Model'!C6</f>
        <v>118.602</v>
      </c>
      <c r="E24" s="16"/>
      <c r="F24" s="16"/>
      <c r="G24" s="12"/>
      <c r="H24" s="31"/>
      <c r="I24" s="12"/>
      <c r="J24" s="12">
        <f>'Model'!C7</f>
        <v>-0.611059672768116</v>
      </c>
      <c r="K24" s="12"/>
    </row>
    <row r="25" ht="20.05" customHeight="1">
      <c r="B25" s="29"/>
      <c r="C25" s="15"/>
      <c r="D25" s="18">
        <f>'Model'!D6</f>
        <v>122.16006</v>
      </c>
      <c r="E25" s="16"/>
      <c r="F25" s="16"/>
      <c r="G25" s="12"/>
      <c r="H25" s="12"/>
      <c r="I25" s="12"/>
      <c r="J25" s="12"/>
      <c r="K25" s="12"/>
    </row>
    <row r="26" ht="20.05" customHeight="1">
      <c r="B26" s="29"/>
      <c r="C26" s="15"/>
      <c r="D26" s="18">
        <f>SUM('Model'!E6)</f>
        <v>127.0464624</v>
      </c>
      <c r="E26" s="16"/>
      <c r="F26" s="16"/>
      <c r="G26" s="12"/>
      <c r="H26" s="12"/>
      <c r="I26" s="12"/>
      <c r="J26" s="12"/>
      <c r="K26" s="12"/>
    </row>
    <row r="27" ht="20.05" customHeight="1">
      <c r="B27" s="29"/>
      <c r="C27" s="15"/>
      <c r="D27" s="18">
        <f>'Model'!F6</f>
        <v>133.39878552</v>
      </c>
      <c r="E27" s="16"/>
      <c r="F27" s="16"/>
      <c r="G27" s="12"/>
      <c r="H27" s="12"/>
      <c r="I27" s="12"/>
      <c r="J27" s="12"/>
      <c r="K27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0625" style="32" customWidth="1"/>
    <col min="2" max="2" width="10.7422" style="32" customWidth="1"/>
    <col min="3" max="4" width="10.375" style="32" customWidth="1"/>
    <col min="5" max="5" width="10.1719" style="32" customWidth="1"/>
    <col min="6" max="6" width="10.375" style="32" customWidth="1"/>
    <col min="7" max="15" width="9.53906" style="32" customWidth="1"/>
    <col min="16" max="16384" width="16.3516" style="32" customWidth="1"/>
  </cols>
  <sheetData>
    <row r="1" ht="10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48</v>
      </c>
      <c r="D3" t="s" s="5">
        <v>49</v>
      </c>
      <c r="E3" t="s" s="5">
        <v>10</v>
      </c>
      <c r="F3" t="s" s="5">
        <v>50</v>
      </c>
      <c r="G3" t="s" s="5">
        <v>9</v>
      </c>
      <c r="H3" t="s" s="5">
        <v>12</v>
      </c>
      <c r="I3" t="s" s="5">
        <v>26</v>
      </c>
      <c r="J3" t="s" s="5">
        <v>51</v>
      </c>
      <c r="K3" t="s" s="5">
        <v>52</v>
      </c>
      <c r="L3" t="s" s="5">
        <v>3</v>
      </c>
      <c r="M3" t="s" s="5">
        <v>36</v>
      </c>
      <c r="N3" t="s" s="5">
        <v>31</v>
      </c>
      <c r="O3" t="s" s="5">
        <v>36</v>
      </c>
    </row>
    <row r="4" ht="20.25" customHeight="1">
      <c r="B4" s="26">
        <v>2015</v>
      </c>
      <c r="C4" s="33">
        <v>0</v>
      </c>
      <c r="D4" s="34">
        <v>-1.9</v>
      </c>
      <c r="E4" s="34">
        <v>-8.9</v>
      </c>
      <c r="F4" s="34">
        <v>0</v>
      </c>
      <c r="G4" s="28">
        <v>0</v>
      </c>
      <c r="H4" s="34"/>
      <c r="I4" s="34"/>
      <c r="J4" s="34">
        <v>0</v>
      </c>
      <c r="K4" s="28">
        <f>F4+D4+E4+G4</f>
        <v>-10.8</v>
      </c>
      <c r="L4" s="35"/>
      <c r="M4" s="28"/>
      <c r="N4" s="28">
        <f>-(J4-F4-G4)</f>
        <v>0</v>
      </c>
      <c r="O4" s="28"/>
    </row>
    <row r="5" ht="20.05" customHeight="1">
      <c r="B5" s="29"/>
      <c r="C5" s="17">
        <v>0</v>
      </c>
      <c r="D5" s="18">
        <v>-0.4</v>
      </c>
      <c r="E5" s="18">
        <v>-5.7</v>
      </c>
      <c r="F5" s="18">
        <v>0</v>
      </c>
      <c r="G5" s="16">
        <v>0</v>
      </c>
      <c r="H5" s="18"/>
      <c r="I5" s="18"/>
      <c r="J5" s="18">
        <v>52.5</v>
      </c>
      <c r="K5" s="16">
        <f>F5+D5+E5+G5</f>
        <v>-6.1</v>
      </c>
      <c r="L5" s="21"/>
      <c r="M5" s="18"/>
      <c r="N5" s="18">
        <f>-(J5-F5-G5)+N4</f>
        <v>-52.5</v>
      </c>
      <c r="O5" s="18"/>
    </row>
    <row r="6" ht="20.05" customHeight="1">
      <c r="B6" s="29"/>
      <c r="C6" s="17">
        <v>0</v>
      </c>
      <c r="D6" s="18">
        <v>-3.5</v>
      </c>
      <c r="E6" s="18">
        <v>-6.1</v>
      </c>
      <c r="F6" s="18">
        <v>0</v>
      </c>
      <c r="G6" s="16">
        <v>0</v>
      </c>
      <c r="H6" s="18"/>
      <c r="I6" s="18"/>
      <c r="J6" s="18">
        <v>-1.1</v>
      </c>
      <c r="K6" s="16">
        <f>F6+D6+E6+G6</f>
        <v>-9.6</v>
      </c>
      <c r="L6" s="21"/>
      <c r="M6" s="18"/>
      <c r="N6" s="18">
        <f>-(J6-F6-G6)+N5</f>
        <v>-51.4</v>
      </c>
      <c r="O6" s="18"/>
    </row>
    <row r="7" ht="20.05" customHeight="1">
      <c r="B7" s="29"/>
      <c r="C7" s="17">
        <v>0</v>
      </c>
      <c r="D7" s="18">
        <v>0.5</v>
      </c>
      <c r="E7" s="18">
        <v>-11.7</v>
      </c>
      <c r="F7" s="18">
        <v>0</v>
      </c>
      <c r="G7" s="16">
        <v>0</v>
      </c>
      <c r="H7" s="18"/>
      <c r="I7" s="18"/>
      <c r="J7" s="18">
        <v>0.8</v>
      </c>
      <c r="K7" s="16">
        <f>F7+D7+E7+G7</f>
        <v>-11.2</v>
      </c>
      <c r="L7" s="21"/>
      <c r="M7" s="18"/>
      <c r="N7" s="18">
        <f>-(J7-F7-G7)+N6</f>
        <v>-52.2</v>
      </c>
      <c r="O7" s="18"/>
    </row>
    <row r="8" ht="20.05" customHeight="1">
      <c r="B8" s="30">
        <v>2016</v>
      </c>
      <c r="C8" s="17">
        <v>0</v>
      </c>
      <c r="D8" s="18">
        <v>-0.5669999999999999</v>
      </c>
      <c r="E8" s="18">
        <v>-11.2</v>
      </c>
      <c r="F8" s="18">
        <v>-0.07000000000000001</v>
      </c>
      <c r="G8" s="16">
        <v>-0.1</v>
      </c>
      <c r="H8" s="18"/>
      <c r="I8" s="18"/>
      <c r="J8" s="18">
        <v>0</v>
      </c>
      <c r="K8" s="16">
        <f>F8+D8+E8+G8</f>
        <v>-11.937</v>
      </c>
      <c r="L8" s="16">
        <f>AVERAGE(K5:K8)</f>
        <v>-9.709250000000001</v>
      </c>
      <c r="M8" s="18"/>
      <c r="N8" s="18">
        <f>-(J8-F8-G8)+N7</f>
        <v>-52.37</v>
      </c>
      <c r="O8" s="18"/>
    </row>
    <row r="9" ht="20.05" customHeight="1">
      <c r="B9" s="29"/>
      <c r="C9" s="17">
        <v>0</v>
      </c>
      <c r="D9" s="18">
        <v>-2.233</v>
      </c>
      <c r="E9" s="18">
        <v>-22.4</v>
      </c>
      <c r="F9" s="18">
        <v>0.07000000000000001</v>
      </c>
      <c r="G9" s="16">
        <v>-0.2</v>
      </c>
      <c r="H9" s="18"/>
      <c r="I9" s="18"/>
      <c r="J9" s="18">
        <v>28</v>
      </c>
      <c r="K9" s="16">
        <f>F9+D9+E9+G9</f>
        <v>-24.763</v>
      </c>
      <c r="L9" s="16">
        <f>AVERAGE(K6:K9)</f>
        <v>-14.375</v>
      </c>
      <c r="M9" s="18"/>
      <c r="N9" s="18">
        <f>-(J9-F9-G9)+N8</f>
        <v>-80.5</v>
      </c>
      <c r="O9" s="18"/>
    </row>
    <row r="10" ht="20.05" customHeight="1">
      <c r="B10" s="29"/>
      <c r="C10" s="17">
        <v>0</v>
      </c>
      <c r="D10" s="18">
        <v>-1.3</v>
      </c>
      <c r="E10" s="18">
        <v>-22.3</v>
      </c>
      <c r="F10" s="18">
        <v>-5.1</v>
      </c>
      <c r="G10" s="16">
        <v>-0.1</v>
      </c>
      <c r="H10" s="18"/>
      <c r="I10" s="18"/>
      <c r="J10" s="18">
        <v>56.1</v>
      </c>
      <c r="K10" s="16">
        <f>F10+D10+E10+G10</f>
        <v>-28.8</v>
      </c>
      <c r="L10" s="16">
        <f>AVERAGE(K7:K10)</f>
        <v>-19.175</v>
      </c>
      <c r="M10" s="18"/>
      <c r="N10" s="18">
        <f>-(J10-F10-G10)+N9</f>
        <v>-141.8</v>
      </c>
      <c r="O10" s="18"/>
    </row>
    <row r="11" ht="20.05" customHeight="1">
      <c r="B11" s="29"/>
      <c r="C11" s="17">
        <v>0</v>
      </c>
      <c r="D11" s="18">
        <v>-1.3</v>
      </c>
      <c r="E11" s="18">
        <v>-29.1</v>
      </c>
      <c r="F11" s="18">
        <v>-0.3</v>
      </c>
      <c r="G11" s="16">
        <v>-0.2</v>
      </c>
      <c r="H11" s="18"/>
      <c r="I11" s="18"/>
      <c r="J11" s="18">
        <v>30.2</v>
      </c>
      <c r="K11" s="16">
        <f>F11+D11+E11+G11</f>
        <v>-30.9</v>
      </c>
      <c r="L11" s="16">
        <f>AVERAGE(K8:K11)</f>
        <v>-24.1</v>
      </c>
      <c r="M11" s="18"/>
      <c r="N11" s="18">
        <f>-(J11-F11-G11)+N10</f>
        <v>-172.5</v>
      </c>
      <c r="O11" s="18"/>
    </row>
    <row r="12" ht="20.05" customHeight="1">
      <c r="B12" s="30">
        <v>2017</v>
      </c>
      <c r="C12" s="17">
        <v>0</v>
      </c>
      <c r="D12" s="18">
        <v>-7.4</v>
      </c>
      <c r="E12" s="18">
        <v>-16.2</v>
      </c>
      <c r="F12" s="18">
        <v>-0.054</v>
      </c>
      <c r="G12" s="16">
        <v>-0.2</v>
      </c>
      <c r="H12" s="18"/>
      <c r="I12" s="18"/>
      <c r="J12" s="18">
        <v>22.4</v>
      </c>
      <c r="K12" s="16">
        <f>F12+D12+E12+G12</f>
        <v>-23.854</v>
      </c>
      <c r="L12" s="16">
        <f>AVERAGE(K9:K12)</f>
        <v>-27.07925</v>
      </c>
      <c r="M12" s="18"/>
      <c r="N12" s="18">
        <f>-(J12-F12-G12)+N11</f>
        <v>-195.154</v>
      </c>
      <c r="O12" s="18"/>
    </row>
    <row r="13" ht="20.05" customHeight="1">
      <c r="B13" s="29"/>
      <c r="C13" s="17">
        <v>9</v>
      </c>
      <c r="D13" s="18">
        <v>-1.6</v>
      </c>
      <c r="E13" s="18">
        <v>-12.8</v>
      </c>
      <c r="F13" s="18">
        <v>-0.246</v>
      </c>
      <c r="G13" s="16">
        <v>-0.2</v>
      </c>
      <c r="H13" s="18"/>
      <c r="I13" s="18"/>
      <c r="J13" s="18">
        <v>2.6</v>
      </c>
      <c r="K13" s="16">
        <f>F13+D13+E13+G13</f>
        <v>-14.846</v>
      </c>
      <c r="L13" s="16">
        <f>AVERAGE(K10:K13)</f>
        <v>-24.6</v>
      </c>
      <c r="M13" s="18"/>
      <c r="N13" s="18">
        <f>-(J13-F13-G13)+N12</f>
        <v>-198.2</v>
      </c>
      <c r="O13" s="18"/>
    </row>
    <row r="14" ht="20.05" customHeight="1">
      <c r="B14" s="29"/>
      <c r="C14" s="17">
        <v>47</v>
      </c>
      <c r="D14" s="18">
        <v>26.2</v>
      </c>
      <c r="E14" s="18">
        <v>-12.1</v>
      </c>
      <c r="F14" s="18">
        <v>0</v>
      </c>
      <c r="G14" s="16">
        <v>-0.3</v>
      </c>
      <c r="H14" s="18"/>
      <c r="I14" s="18"/>
      <c r="J14" s="18">
        <v>-18.4</v>
      </c>
      <c r="K14" s="16">
        <f>F14+D14+E14+G14</f>
        <v>13.8</v>
      </c>
      <c r="L14" s="16">
        <f>AVERAGE(K11:K14)</f>
        <v>-13.95</v>
      </c>
      <c r="M14" s="18"/>
      <c r="N14" s="18">
        <f>-(J14-F14-G14)+N13</f>
        <v>-180.1</v>
      </c>
      <c r="O14" s="18"/>
    </row>
    <row r="15" ht="20.05" customHeight="1">
      <c r="B15" s="29"/>
      <c r="C15" s="17">
        <v>77</v>
      </c>
      <c r="D15" s="18">
        <v>55.1</v>
      </c>
      <c r="E15" s="18">
        <v>-20.5</v>
      </c>
      <c r="F15" s="18">
        <v>-6.3</v>
      </c>
      <c r="G15" s="16">
        <v>-0.1</v>
      </c>
      <c r="H15" s="18"/>
      <c r="I15" s="18"/>
      <c r="J15" s="18">
        <v>-25.3</v>
      </c>
      <c r="K15" s="16">
        <f>F15+D15+E15+G15</f>
        <v>28.2</v>
      </c>
      <c r="L15" s="16">
        <f>AVERAGE(K12:K15)</f>
        <v>0.825</v>
      </c>
      <c r="M15" s="18"/>
      <c r="N15" s="18">
        <f>-(J15-F15-G15)+N14</f>
        <v>-161.2</v>
      </c>
      <c r="O15" s="18"/>
    </row>
    <row r="16" ht="20.05" customHeight="1">
      <c r="B16" s="30">
        <v>2018</v>
      </c>
      <c r="C16" s="17">
        <v>69</v>
      </c>
      <c r="D16" s="18">
        <v>39</v>
      </c>
      <c r="E16" s="18">
        <v>-13</v>
      </c>
      <c r="F16" s="18">
        <v>-4.1</v>
      </c>
      <c r="G16" s="16">
        <v>-0.2</v>
      </c>
      <c r="H16" s="18"/>
      <c r="I16" s="18"/>
      <c r="J16" s="18">
        <v>-22</v>
      </c>
      <c r="K16" s="16">
        <f>F16+D16+E16+G16</f>
        <v>21.7</v>
      </c>
      <c r="L16" s="16">
        <f>AVERAGE(K13:K16)</f>
        <v>12.2135</v>
      </c>
      <c r="M16" s="18"/>
      <c r="N16" s="18">
        <f>-(J16-F16-G16)+N15</f>
        <v>-143.5</v>
      </c>
      <c r="O16" s="18"/>
    </row>
    <row r="17" ht="20.05" customHeight="1">
      <c r="B17" s="29"/>
      <c r="C17" s="17">
        <v>48</v>
      </c>
      <c r="D17" s="18">
        <v>-22</v>
      </c>
      <c r="E17" s="18">
        <v>-15</v>
      </c>
      <c r="F17" s="18">
        <v>-1.5</v>
      </c>
      <c r="G17" s="16">
        <v>-0.2</v>
      </c>
      <c r="H17" s="18"/>
      <c r="I17" s="18"/>
      <c r="J17" s="18">
        <v>28</v>
      </c>
      <c r="K17" s="16">
        <f>F17+D17+E17+G17</f>
        <v>-38.7</v>
      </c>
      <c r="L17" s="16">
        <f>AVERAGE(K14:K17)</f>
        <v>6.25</v>
      </c>
      <c r="M17" s="18"/>
      <c r="N17" s="18">
        <f>-(J17-F17-G17)+N16</f>
        <v>-173.2</v>
      </c>
      <c r="O17" s="18"/>
    </row>
    <row r="18" ht="20.05" customHeight="1">
      <c r="B18" s="29"/>
      <c r="C18" s="17">
        <v>101</v>
      </c>
      <c r="D18" s="18">
        <v>39.5</v>
      </c>
      <c r="E18" s="18">
        <v>-18.4</v>
      </c>
      <c r="F18" s="18">
        <v>-7</v>
      </c>
      <c r="G18" s="16">
        <v>-0.3</v>
      </c>
      <c r="H18" s="18"/>
      <c r="I18" s="18"/>
      <c r="J18" s="18">
        <v>-22</v>
      </c>
      <c r="K18" s="16">
        <f>F18+D18+E18+G18</f>
        <v>13.8</v>
      </c>
      <c r="L18" s="16">
        <f>AVERAGE(K15:K18)</f>
        <v>6.25</v>
      </c>
      <c r="M18" s="18"/>
      <c r="N18" s="18">
        <f>-(J18-F18-G18)+N17</f>
        <v>-158.5</v>
      </c>
      <c r="O18" s="18"/>
    </row>
    <row r="19" ht="20.05" customHeight="1">
      <c r="B19" s="29"/>
      <c r="C19" s="17">
        <v>77</v>
      </c>
      <c r="D19" s="18">
        <v>-5.6</v>
      </c>
      <c r="E19" s="18">
        <v>-68.59999999999999</v>
      </c>
      <c r="F19" s="18">
        <v>-6.4</v>
      </c>
      <c r="G19" s="16">
        <v>-0.1</v>
      </c>
      <c r="H19" s="18"/>
      <c r="I19" s="18"/>
      <c r="J19" s="18">
        <v>57.7</v>
      </c>
      <c r="K19" s="16">
        <f>F19+D19+E19+G19</f>
        <v>-80.7</v>
      </c>
      <c r="L19" s="16">
        <f>AVERAGE(K16:K19)</f>
        <v>-20.975</v>
      </c>
      <c r="M19" s="18"/>
      <c r="N19" s="18">
        <f>-(J19-F19-G19)+N18</f>
        <v>-222.7</v>
      </c>
      <c r="O19" s="18"/>
    </row>
    <row r="20" ht="20.05" customHeight="1">
      <c r="B20" s="30">
        <v>2019</v>
      </c>
      <c r="C20" s="17">
        <v>110</v>
      </c>
      <c r="D20" s="18">
        <v>63</v>
      </c>
      <c r="E20" s="18">
        <v>-16</v>
      </c>
      <c r="F20" s="18">
        <v>-5.9</v>
      </c>
      <c r="G20" s="16">
        <v>-0.2</v>
      </c>
      <c r="H20" s="18"/>
      <c r="I20" s="18"/>
      <c r="J20" s="18">
        <v>8</v>
      </c>
      <c r="K20" s="16">
        <f>F20+D20+E20+G20</f>
        <v>40.9</v>
      </c>
      <c r="L20" s="16">
        <f>AVERAGE(K17:K20)</f>
        <v>-16.175</v>
      </c>
      <c r="M20" s="18"/>
      <c r="N20" s="18">
        <f>-(J20-F20-G20)+N19</f>
        <v>-236.8</v>
      </c>
      <c r="O20" s="18"/>
    </row>
    <row r="21" ht="20.05" customHeight="1">
      <c r="B21" s="29"/>
      <c r="C21" s="17">
        <v>79</v>
      </c>
      <c r="D21" s="18">
        <v>13</v>
      </c>
      <c r="E21" s="18">
        <v>-44</v>
      </c>
      <c r="F21" s="18">
        <v>-6</v>
      </c>
      <c r="G21" s="16">
        <v>-0.8</v>
      </c>
      <c r="H21" s="18"/>
      <c r="I21" s="18"/>
      <c r="J21" s="18">
        <v>2</v>
      </c>
      <c r="K21" s="16">
        <f>F21+D21+E21+G21</f>
        <v>-37.8</v>
      </c>
      <c r="L21" s="16">
        <f>AVERAGE(K18:K21)</f>
        <v>-15.95</v>
      </c>
      <c r="M21" s="18"/>
      <c r="N21" s="18">
        <f>-(J21-F21-G21)+N20</f>
        <v>-245.6</v>
      </c>
      <c r="O21" s="18"/>
    </row>
    <row r="22" ht="20.05" customHeight="1">
      <c r="B22" s="29"/>
      <c r="C22" s="17">
        <v>132</v>
      </c>
      <c r="D22" s="18">
        <v>22</v>
      </c>
      <c r="E22" s="18">
        <v>-49</v>
      </c>
      <c r="F22" s="18">
        <v>-8.1</v>
      </c>
      <c r="G22" s="16">
        <v>-1</v>
      </c>
      <c r="H22" s="18"/>
      <c r="I22" s="18"/>
      <c r="J22" s="18">
        <v>50</v>
      </c>
      <c r="K22" s="16">
        <f>F22+D22+E22+G22</f>
        <v>-36.1</v>
      </c>
      <c r="L22" s="16">
        <f>AVERAGE(K19:K22)</f>
        <v>-28.425</v>
      </c>
      <c r="M22" s="18"/>
      <c r="N22" s="18">
        <f>-(J22-F22-G22)+N21</f>
        <v>-304.7</v>
      </c>
      <c r="O22" s="18"/>
    </row>
    <row r="23" ht="20.05" customHeight="1">
      <c r="B23" s="29"/>
      <c r="C23" s="17">
        <v>113</v>
      </c>
      <c r="D23" s="18">
        <v>25</v>
      </c>
      <c r="E23" s="18">
        <v>-44</v>
      </c>
      <c r="F23" s="18">
        <v>-8</v>
      </c>
      <c r="G23" s="16">
        <v>-6</v>
      </c>
      <c r="H23" s="18"/>
      <c r="I23" s="18"/>
      <c r="J23" s="18">
        <v>5</v>
      </c>
      <c r="K23" s="16">
        <f>F23+D23+E23+G23</f>
        <v>-33</v>
      </c>
      <c r="L23" s="16">
        <f>AVERAGE(K20:K23)</f>
        <v>-16.5</v>
      </c>
      <c r="M23" s="18"/>
      <c r="N23" s="18">
        <f>-(J23-F23-G23)+N22</f>
        <v>-323.7</v>
      </c>
      <c r="O23" s="18"/>
    </row>
    <row r="24" ht="20.05" customHeight="1">
      <c r="B24" s="30">
        <v>2020</v>
      </c>
      <c r="C24" s="17">
        <v>109</v>
      </c>
      <c r="D24" s="18">
        <v>37</v>
      </c>
      <c r="E24" s="18">
        <v>-7.299</v>
      </c>
      <c r="F24" s="18">
        <v>-4</v>
      </c>
      <c r="G24" s="16">
        <v>-3</v>
      </c>
      <c r="H24" s="18"/>
      <c r="I24" s="18"/>
      <c r="J24" s="18">
        <v>-16</v>
      </c>
      <c r="K24" s="16">
        <f>F24+D24+E24+G24</f>
        <v>22.701</v>
      </c>
      <c r="L24" s="16">
        <f>AVERAGE(K21:K24)</f>
        <v>-21.04975</v>
      </c>
      <c r="M24" s="18"/>
      <c r="N24" s="18">
        <f>-(J24-F24-G24)+N23</f>
        <v>-314.7</v>
      </c>
      <c r="O24" s="18"/>
    </row>
    <row r="25" ht="20.05" customHeight="1">
      <c r="B25" s="29"/>
      <c r="C25" s="17">
        <v>92</v>
      </c>
      <c r="D25" s="18">
        <f>56-D24</f>
        <v>19</v>
      </c>
      <c r="E25" s="18">
        <v>-10.701</v>
      </c>
      <c r="F25" s="18">
        <f>-8-F24</f>
        <v>-4</v>
      </c>
      <c r="G25" s="16">
        <v>-3</v>
      </c>
      <c r="H25" s="18"/>
      <c r="I25" s="18"/>
      <c r="J25" s="18">
        <v>-16</v>
      </c>
      <c r="K25" s="16">
        <f>F25+D25+E25+G25</f>
        <v>1.299</v>
      </c>
      <c r="L25" s="16">
        <f>AVERAGE(K22:K25)</f>
        <v>-11.275</v>
      </c>
      <c r="M25" s="18"/>
      <c r="N25" s="18">
        <f>-(J25-F25-G25)+N24</f>
        <v>-305.7</v>
      </c>
      <c r="O25" s="18"/>
    </row>
    <row r="26" ht="20.05" customHeight="1">
      <c r="B26" s="29"/>
      <c r="C26" s="17">
        <v>107</v>
      </c>
      <c r="D26" s="18">
        <f>96-SUM(D24:D25)</f>
        <v>40</v>
      </c>
      <c r="E26" s="18">
        <f>-29-SUM(E24:E25)</f>
        <v>-11</v>
      </c>
      <c r="F26" s="18">
        <f>-10-SUM(F24:F25)</f>
        <v>-2</v>
      </c>
      <c r="G26" s="16">
        <v>-4</v>
      </c>
      <c r="H26" s="18"/>
      <c r="I26" s="18"/>
      <c r="J26" s="18">
        <f>-33-SUM(J24:J25)</f>
        <v>-1</v>
      </c>
      <c r="K26" s="16">
        <f>F26+D26+E26+G26</f>
        <v>23</v>
      </c>
      <c r="L26" s="16">
        <f>AVERAGE(K23:K26)</f>
        <v>3.5</v>
      </c>
      <c r="M26" s="18"/>
      <c r="N26" s="18">
        <f>-(J26-F26-G26)+N25</f>
        <v>-310.7</v>
      </c>
      <c r="O26" s="18"/>
    </row>
    <row r="27" ht="20.05" customHeight="1">
      <c r="B27" s="29"/>
      <c r="C27" s="17">
        <f>341.29-SUM(C24:C26)</f>
        <v>33.29</v>
      </c>
      <c r="D27" s="18">
        <f>119.97-SUM(D24:D26)</f>
        <v>23.97</v>
      </c>
      <c r="E27" s="18">
        <f>-69.9-SUM(E24:E26)</f>
        <v>-40.9</v>
      </c>
      <c r="F27" s="18">
        <f>-13.1-SUM(F24:F26)</f>
        <v>-3.1</v>
      </c>
      <c r="G27" s="16">
        <v>-4</v>
      </c>
      <c r="H27" s="18"/>
      <c r="I27" s="18"/>
      <c r="J27" s="18">
        <f>-48.8-SUM(J24:J26)</f>
        <v>-15.8</v>
      </c>
      <c r="K27" s="16">
        <f>F27+D27+E27+G27</f>
        <v>-24.03</v>
      </c>
      <c r="L27" s="16">
        <f>AVERAGE(K24:K27)</f>
        <v>5.7425</v>
      </c>
      <c r="M27" s="18"/>
      <c r="N27" s="18">
        <f>-(J27-F27-G27)+N26</f>
        <v>-302</v>
      </c>
      <c r="O27" s="18"/>
    </row>
    <row r="28" ht="20.05" customHeight="1">
      <c r="B28" s="30">
        <v>2021</v>
      </c>
      <c r="C28" s="17">
        <v>45.3</v>
      </c>
      <c r="D28" s="18">
        <v>-16.5</v>
      </c>
      <c r="E28" s="18">
        <v>-2.8</v>
      </c>
      <c r="F28" s="18">
        <v>-5.9</v>
      </c>
      <c r="G28" s="18">
        <v>-6.2</v>
      </c>
      <c r="H28" s="18">
        <f>242.523-G28-F28-I28</f>
        <v>85.623</v>
      </c>
      <c r="I28" s="18">
        <v>169</v>
      </c>
      <c r="J28" s="18">
        <f>242.5</f>
        <v>242.5</v>
      </c>
      <c r="K28" s="16">
        <f>F28+D28+E28+G28</f>
        <v>-31.4</v>
      </c>
      <c r="L28" s="16">
        <f>AVERAGE(K25:K28)</f>
        <v>-7.78275</v>
      </c>
      <c r="M28" s="18"/>
      <c r="N28" s="18">
        <f>-(H28+I28)+N27</f>
        <v>-556.623</v>
      </c>
      <c r="O28" s="18"/>
    </row>
    <row r="29" ht="20.05" customHeight="1">
      <c r="B29" s="29"/>
      <c r="C29" s="17">
        <f>128.5-C28</f>
        <v>83.2</v>
      </c>
      <c r="D29" s="18">
        <f>3.6-D28</f>
        <v>20.1</v>
      </c>
      <c r="E29" s="18">
        <f>18.1-E28</f>
        <v>20.9</v>
      </c>
      <c r="F29" s="18">
        <f>-8.4-2.2-F28</f>
        <v>-4.7</v>
      </c>
      <c r="G29" s="18">
        <f>-13.1-G28</f>
        <v>-6.9</v>
      </c>
      <c r="H29" s="18">
        <f>239.25-F29-F28-G29-G28-H28-I29-I28</f>
        <v>3.434</v>
      </c>
      <c r="I29" s="18">
        <f>172-2.2-0.3-I28+4.393</f>
        <v>4.893</v>
      </c>
      <c r="J29" s="18">
        <f>239.2-J28</f>
        <v>-3.3</v>
      </c>
      <c r="K29" s="16">
        <f>F29+D29+E29+G29</f>
        <v>29.4</v>
      </c>
      <c r="L29" s="16">
        <f>AVERAGE(K26:K29)</f>
        <v>-0.7575</v>
      </c>
      <c r="M29" s="18"/>
      <c r="N29" s="18">
        <f>-(H29+I29)+N28</f>
        <v>-564.95</v>
      </c>
      <c r="O29" s="18"/>
    </row>
    <row r="30" ht="20.05" customHeight="1">
      <c r="B30" s="29"/>
      <c r="C30" s="17">
        <f>275-SUM(C28:C29)</f>
        <v>146.5</v>
      </c>
      <c r="D30" s="18">
        <f>90.9-SUM(D28:D29)</f>
        <v>87.3</v>
      </c>
      <c r="E30" s="18">
        <f>-96.4-SUM(E28:E29)</f>
        <v>-114.5</v>
      </c>
      <c r="F30" s="18">
        <f>-11.9-3.8-SUM(F28:F29)</f>
        <v>-5.1</v>
      </c>
      <c r="G30" s="18">
        <f>-19.4-SUM(G28:G29)</f>
        <v>-6.3</v>
      </c>
      <c r="H30" s="18">
        <f>159.433-F30-F29-F28-G30-G29-G28-H29-H28-I30-I29-I28</f>
        <v>-73.824</v>
      </c>
      <c r="I30" s="18">
        <f>172-2.3-0.3+9.9-I29-I28</f>
        <v>5.407</v>
      </c>
      <c r="J30" s="18">
        <f>159.4-SUM(J28:J29)</f>
        <v>-79.8</v>
      </c>
      <c r="K30" s="16">
        <f>F30+D30+E30+G30</f>
        <v>-38.6</v>
      </c>
      <c r="L30" s="16">
        <f>AVERAGE(K27:K30)</f>
        <v>-16.1575</v>
      </c>
      <c r="M30" s="18"/>
      <c r="N30" s="18">
        <f>-(H30+I30)+N29</f>
        <v>-496.533</v>
      </c>
      <c r="O30" s="18"/>
    </row>
    <row r="31" ht="20.05" customHeight="1">
      <c r="B31" s="29"/>
      <c r="C31" s="17">
        <f>383.6-SUM(C28:C30)</f>
        <v>108.6</v>
      </c>
      <c r="D31" s="18">
        <f>132.9-SUM(D28:D30)</f>
        <v>42</v>
      </c>
      <c r="E31" s="18">
        <f>-242.3-SUM(E28:E30)</f>
        <v>-145.9</v>
      </c>
      <c r="F31" s="18">
        <f>-14.6-5-SUM(F28:F30)</f>
        <v>-3.9</v>
      </c>
      <c r="G31" s="18">
        <f>-27.9+3-SUM(G28:G30)</f>
        <v>-5.5</v>
      </c>
      <c r="H31" s="18">
        <f>209-56.8+125-158.9-1.3-14-SUM(H28:H30)</f>
        <v>87.767</v>
      </c>
      <c r="I31" s="18">
        <f>172-2.3-0.3-0.1+18.6-SUM(I28:I30)</f>
        <v>8.6</v>
      </c>
      <c r="J31" s="18">
        <f>246.6-SUM(J28:J30)</f>
        <v>87.2</v>
      </c>
      <c r="K31" s="16">
        <f>F31+D31+E31+G31</f>
        <v>-113.3</v>
      </c>
      <c r="L31" s="16">
        <f>AVERAGE(K28:K31)</f>
        <v>-38.475</v>
      </c>
      <c r="M31" s="18">
        <f>L31</f>
        <v>-38.475</v>
      </c>
      <c r="N31" s="18">
        <f>-(H31+I31)+N30</f>
        <v>-592.9</v>
      </c>
      <c r="O31" s="18">
        <f>N31</f>
        <v>-592.9</v>
      </c>
    </row>
    <row r="32" ht="20.05" customHeight="1">
      <c r="B32" s="30">
        <v>2022</v>
      </c>
      <c r="C32" s="17"/>
      <c r="D32" s="24"/>
      <c r="E32" s="18"/>
      <c r="F32" s="18"/>
      <c r="G32" s="18"/>
      <c r="H32" s="18"/>
      <c r="I32" s="18"/>
      <c r="J32" s="18"/>
      <c r="K32" s="18"/>
      <c r="L32" s="31"/>
      <c r="M32" s="16">
        <f>SUM('Model'!F9:F11)</f>
        <v>28.1508339591514</v>
      </c>
      <c r="N32" s="31"/>
      <c r="O32" s="18">
        <f>'Model'!F34</f>
        <v>-499.016698443975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7.53906" style="36" customWidth="1"/>
    <col min="3" max="11" width="9.98438" style="36" customWidth="1"/>
    <col min="12" max="16384" width="16.3516" style="36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54</v>
      </c>
      <c r="E3" t="s" s="5">
        <v>55</v>
      </c>
      <c r="F3" t="s" s="5">
        <v>24</v>
      </c>
      <c r="G3" t="s" s="5">
        <v>12</v>
      </c>
      <c r="H3" t="s" s="5">
        <v>26</v>
      </c>
      <c r="I3" t="s" s="5">
        <v>27</v>
      </c>
      <c r="J3" t="s" s="5">
        <v>56</v>
      </c>
      <c r="K3" t="s" s="5">
        <v>36</v>
      </c>
    </row>
    <row r="4" ht="20.25" customHeight="1">
      <c r="B4" s="26">
        <v>2016</v>
      </c>
      <c r="C4" s="33">
        <v>6</v>
      </c>
      <c r="D4" s="34">
        <v>184</v>
      </c>
      <c r="E4" s="34">
        <f>D4-C4</f>
        <v>178</v>
      </c>
      <c r="F4" s="34">
        <f>0</f>
        <v>0</v>
      </c>
      <c r="G4" s="34">
        <v>26</v>
      </c>
      <c r="H4" s="34">
        <v>158</v>
      </c>
      <c r="I4" s="34">
        <f>G4+H4-C4-E4</f>
        <v>0</v>
      </c>
      <c r="J4" s="34">
        <f>C4-G4</f>
        <v>-20</v>
      </c>
      <c r="K4" s="34"/>
    </row>
    <row r="5" ht="20.05" customHeight="1">
      <c r="B5" s="29"/>
      <c r="C5" s="17">
        <v>10</v>
      </c>
      <c r="D5" s="18">
        <v>218</v>
      </c>
      <c r="E5" s="18">
        <f>D5-C5</f>
        <v>208</v>
      </c>
      <c r="F5" s="18">
        <v>1</v>
      </c>
      <c r="G5" s="18">
        <v>71</v>
      </c>
      <c r="H5" s="18">
        <v>147</v>
      </c>
      <c r="I5" s="18">
        <f>G5+H5-C5-E5</f>
        <v>0</v>
      </c>
      <c r="J5" s="18">
        <f>C5-G5</f>
        <v>-61</v>
      </c>
      <c r="K5" s="18"/>
    </row>
    <row r="6" ht="20.05" customHeight="1">
      <c r="B6" s="29"/>
      <c r="C6" s="17">
        <v>43</v>
      </c>
      <c r="D6" s="18">
        <v>283</v>
      </c>
      <c r="E6" s="18">
        <f>D6-C6</f>
        <v>240</v>
      </c>
      <c r="F6" s="18">
        <v>1</v>
      </c>
      <c r="G6" s="18">
        <v>137</v>
      </c>
      <c r="H6" s="18">
        <v>146</v>
      </c>
      <c r="I6" s="18">
        <f>G6+H6-C6-E6</f>
        <v>0</v>
      </c>
      <c r="J6" s="18">
        <f>C6-G6</f>
        <v>-94</v>
      </c>
      <c r="K6" s="18"/>
    </row>
    <row r="7" ht="20.05" customHeight="1">
      <c r="B7" s="29"/>
      <c r="C7" s="17">
        <v>43</v>
      </c>
      <c r="D7" s="18">
        <v>304</v>
      </c>
      <c r="E7" s="18">
        <f>D7-C7</f>
        <v>261</v>
      </c>
      <c r="F7" s="18">
        <f t="shared" si="11" ref="F7:F8">1</f>
        <v>1</v>
      </c>
      <c r="G7" s="18">
        <v>145</v>
      </c>
      <c r="H7" s="18">
        <v>159</v>
      </c>
      <c r="I7" s="18">
        <f>G7+H7-C7-E7</f>
        <v>0</v>
      </c>
      <c r="J7" s="18">
        <f>C7-G7</f>
        <v>-102</v>
      </c>
      <c r="K7" s="18"/>
    </row>
    <row r="8" ht="20.05" customHeight="1">
      <c r="B8" s="30">
        <v>2017</v>
      </c>
      <c r="C8" s="17">
        <v>41</v>
      </c>
      <c r="D8" s="18">
        <v>327</v>
      </c>
      <c r="E8" s="18">
        <f>D8-C8</f>
        <v>286</v>
      </c>
      <c r="F8" s="18">
        <f t="shared" si="11"/>
        <v>1</v>
      </c>
      <c r="G8" s="18">
        <v>170</v>
      </c>
      <c r="H8" s="18">
        <v>157</v>
      </c>
      <c r="I8" s="18">
        <f>G8+H8-C8-E8</f>
        <v>0</v>
      </c>
      <c r="J8" s="18">
        <f>C8-G8</f>
        <v>-129</v>
      </c>
      <c r="K8" s="18"/>
    </row>
    <row r="9" ht="20.05" customHeight="1">
      <c r="B9" s="29"/>
      <c r="C9" s="17">
        <v>29</v>
      </c>
      <c r="D9" s="18">
        <v>338</v>
      </c>
      <c r="E9" s="18">
        <f>D9-C9</f>
        <v>309</v>
      </c>
      <c r="F9" s="18">
        <f>3+1</f>
        <v>4</v>
      </c>
      <c r="G9" s="18">
        <v>189</v>
      </c>
      <c r="H9" s="18">
        <v>149</v>
      </c>
      <c r="I9" s="18">
        <f>G9+H9-C9-E9</f>
        <v>0</v>
      </c>
      <c r="J9" s="18">
        <f>C9-G9</f>
        <v>-160</v>
      </c>
      <c r="K9" s="18"/>
    </row>
    <row r="10" ht="20.05" customHeight="1">
      <c r="B10" s="29"/>
      <c r="C10" s="17">
        <v>25</v>
      </c>
      <c r="D10" s="18">
        <v>356</v>
      </c>
      <c r="E10" s="18">
        <f>D10-C10</f>
        <v>331</v>
      </c>
      <c r="F10" s="18">
        <f>11</f>
        <v>11</v>
      </c>
      <c r="G10" s="18">
        <v>187</v>
      </c>
      <c r="H10" s="18">
        <v>169</v>
      </c>
      <c r="I10" s="18">
        <f>G10+H10-C10-E10</f>
        <v>0</v>
      </c>
      <c r="J10" s="18">
        <f>C10-G10</f>
        <v>-162</v>
      </c>
      <c r="K10" s="18"/>
    </row>
    <row r="11" ht="20.05" customHeight="1">
      <c r="B11" s="29"/>
      <c r="C11" s="17">
        <v>35</v>
      </c>
      <c r="D11" s="18">
        <v>371</v>
      </c>
      <c r="E11" s="18">
        <f>D11-C11</f>
        <v>336</v>
      </c>
      <c r="F11" s="18">
        <f>17+8</f>
        <v>25</v>
      </c>
      <c r="G11" s="18">
        <v>182</v>
      </c>
      <c r="H11" s="18">
        <v>189</v>
      </c>
      <c r="I11" s="18">
        <f>G11+H11-C11-E11</f>
        <v>0</v>
      </c>
      <c r="J11" s="18">
        <f>C11-G11</f>
        <v>-147</v>
      </c>
      <c r="K11" s="18"/>
    </row>
    <row r="12" ht="20.05" customHeight="1">
      <c r="B12" s="30">
        <v>2018</v>
      </c>
      <c r="C12" s="17">
        <v>39</v>
      </c>
      <c r="D12" s="18">
        <v>404</v>
      </c>
      <c r="E12" s="18">
        <f>D12-C12</f>
        <v>365</v>
      </c>
      <c r="F12" s="18">
        <f>21+10</f>
        <v>31</v>
      </c>
      <c r="G12" s="18">
        <v>191</v>
      </c>
      <c r="H12" s="18">
        <v>213</v>
      </c>
      <c r="I12" s="18">
        <f>G12+H12-C12-E12</f>
        <v>0</v>
      </c>
      <c r="J12" s="18">
        <f>C12-G12</f>
        <v>-152</v>
      </c>
      <c r="K12" s="18"/>
    </row>
    <row r="13" ht="20.05" customHeight="1">
      <c r="B13" s="29"/>
      <c r="C13" s="17">
        <v>31</v>
      </c>
      <c r="D13" s="18">
        <v>678</v>
      </c>
      <c r="E13" s="18">
        <f>D13-C13</f>
        <v>647</v>
      </c>
      <c r="F13" s="18">
        <f>61+33</f>
        <v>94</v>
      </c>
      <c r="G13" s="18">
        <v>386</v>
      </c>
      <c r="H13" s="18">
        <v>292</v>
      </c>
      <c r="I13" s="18">
        <f>G13+H13-C13-E13</f>
        <v>0</v>
      </c>
      <c r="J13" s="18">
        <f>C13-G13</f>
        <v>-355</v>
      </c>
      <c r="K13" s="18"/>
    </row>
    <row r="14" ht="20.05" customHeight="1">
      <c r="B14" s="29"/>
      <c r="C14" s="17">
        <v>28</v>
      </c>
      <c r="D14" s="18">
        <v>695</v>
      </c>
      <c r="E14" s="18">
        <f>D14-C14</f>
        <v>667</v>
      </c>
      <c r="F14" s="18">
        <f>71+38</f>
        <v>109</v>
      </c>
      <c r="G14" s="18">
        <v>285</v>
      </c>
      <c r="H14" s="18">
        <v>410</v>
      </c>
      <c r="I14" s="18">
        <f>G14+H14-C14-E14</f>
        <v>0</v>
      </c>
      <c r="J14" s="18">
        <f>C14-G14</f>
        <v>-257</v>
      </c>
      <c r="K14" s="18"/>
    </row>
    <row r="15" ht="20.05" customHeight="1">
      <c r="B15" s="29"/>
      <c r="C15" s="17">
        <v>14</v>
      </c>
      <c r="D15" s="18">
        <v>798</v>
      </c>
      <c r="E15" s="18">
        <f>D15-C15</f>
        <v>784</v>
      </c>
      <c r="F15" s="18">
        <f>71+45</f>
        <v>116</v>
      </c>
      <c r="G15" s="18">
        <v>376</v>
      </c>
      <c r="H15" s="18">
        <v>422</v>
      </c>
      <c r="I15" s="18">
        <f>G15+H15-C15-E15</f>
        <v>0</v>
      </c>
      <c r="J15" s="18">
        <f>C15-G15</f>
        <v>-362</v>
      </c>
      <c r="K15" s="18"/>
    </row>
    <row r="16" ht="20.05" customHeight="1">
      <c r="B16" s="30">
        <v>2019</v>
      </c>
      <c r="C16" s="17">
        <v>69</v>
      </c>
      <c r="D16" s="18">
        <v>863</v>
      </c>
      <c r="E16" s="18">
        <f>D16-C16</f>
        <v>794</v>
      </c>
      <c r="F16" s="18">
        <f>80+52</f>
        <v>132</v>
      </c>
      <c r="G16" s="18">
        <v>424</v>
      </c>
      <c r="H16" s="18">
        <v>439</v>
      </c>
      <c r="I16" s="18">
        <f>G16+H16-C16-E16</f>
        <v>0</v>
      </c>
      <c r="J16" s="18">
        <f>C16-G16</f>
        <v>-355</v>
      </c>
      <c r="K16" s="18"/>
    </row>
    <row r="17" ht="20.05" customHeight="1">
      <c r="B17" s="29"/>
      <c r="C17" s="17">
        <v>40</v>
      </c>
      <c r="D17" s="18">
        <v>889</v>
      </c>
      <c r="E17" s="18">
        <f>D17-C17</f>
        <v>849</v>
      </c>
      <c r="F17" s="18">
        <f>93+60</f>
        <v>153</v>
      </c>
      <c r="G17" s="18">
        <v>450</v>
      </c>
      <c r="H17" s="18">
        <v>439</v>
      </c>
      <c r="I17" s="18">
        <f>G17+H17-C17-E17</f>
        <v>0</v>
      </c>
      <c r="J17" s="18">
        <f>C17-G17</f>
        <v>-410</v>
      </c>
      <c r="K17" s="18"/>
    </row>
    <row r="18" ht="20.05" customHeight="1">
      <c r="B18" s="29"/>
      <c r="C18" s="17">
        <v>63</v>
      </c>
      <c r="D18" s="18">
        <v>964</v>
      </c>
      <c r="E18" s="18">
        <f>D18-C18</f>
        <v>901</v>
      </c>
      <c r="F18" s="18">
        <f>110+72</f>
        <v>182</v>
      </c>
      <c r="G18" s="18">
        <v>442</v>
      </c>
      <c r="H18" s="18">
        <v>522</v>
      </c>
      <c r="I18" s="18">
        <f>G18+H18-C18-E18</f>
        <v>0</v>
      </c>
      <c r="J18" s="18">
        <f>C18-G18</f>
        <v>-379</v>
      </c>
      <c r="K18" s="18"/>
    </row>
    <row r="19" ht="20.05" customHeight="1">
      <c r="B19" s="29"/>
      <c r="C19" s="17">
        <v>50</v>
      </c>
      <c r="D19" s="18">
        <v>951</v>
      </c>
      <c r="E19" s="18">
        <f>D19-C19</f>
        <v>901</v>
      </c>
      <c r="F19" s="18">
        <f>132+76</f>
        <v>208</v>
      </c>
      <c r="G19" s="18">
        <v>427</v>
      </c>
      <c r="H19" s="18">
        <v>524</v>
      </c>
      <c r="I19" s="18">
        <f>G19+H19-C19-E19</f>
        <v>0</v>
      </c>
      <c r="J19" s="18">
        <f>C19-G19</f>
        <v>-377</v>
      </c>
      <c r="K19" s="18"/>
    </row>
    <row r="20" ht="20.05" customHeight="1">
      <c r="B20" s="30">
        <v>2020</v>
      </c>
      <c r="C20" s="17">
        <v>63</v>
      </c>
      <c r="D20" s="18">
        <v>941</v>
      </c>
      <c r="E20" s="18">
        <f>D20-C20</f>
        <v>878</v>
      </c>
      <c r="F20" s="18">
        <f>81+147</f>
        <v>228</v>
      </c>
      <c r="G20" s="18">
        <v>407</v>
      </c>
      <c r="H20" s="18">
        <v>534</v>
      </c>
      <c r="I20" s="18">
        <f>G20+H20-C20-E20</f>
        <v>0</v>
      </c>
      <c r="J20" s="18">
        <f>C20-G20</f>
        <v>-344</v>
      </c>
      <c r="K20" s="18"/>
    </row>
    <row r="21" ht="20.05" customHeight="1">
      <c r="B21" s="29"/>
      <c r="C21" s="17">
        <v>56</v>
      </c>
      <c r="D21" s="18">
        <v>942</v>
      </c>
      <c r="E21" s="18">
        <f>D21-C21</f>
        <v>886</v>
      </c>
      <c r="F21" s="18">
        <f>0.251+159.354+84.024</f>
        <v>243.629</v>
      </c>
      <c r="G21" s="18">
        <v>388</v>
      </c>
      <c r="H21" s="18">
        <v>554</v>
      </c>
      <c r="I21" s="18">
        <f>G21+H21-C21-E21</f>
        <v>0</v>
      </c>
      <c r="J21" s="18">
        <f>C21-G21</f>
        <v>-332</v>
      </c>
      <c r="K21" s="18"/>
    </row>
    <row r="22" ht="20.05" customHeight="1">
      <c r="B22" s="29"/>
      <c r="C22" s="20">
        <v>84</v>
      </c>
      <c r="D22" s="21">
        <v>952</v>
      </c>
      <c r="E22" s="18">
        <f>D22-C22</f>
        <v>868</v>
      </c>
      <c r="F22" s="21">
        <f>88+171</f>
        <v>259</v>
      </c>
      <c r="G22" s="18">
        <v>379</v>
      </c>
      <c r="H22" s="18">
        <v>573</v>
      </c>
      <c r="I22" s="18">
        <f>G22+H22-C22-E22</f>
        <v>0</v>
      </c>
      <c r="J22" s="18">
        <f>C22-G22</f>
        <v>-295</v>
      </c>
      <c r="K22" s="18"/>
    </row>
    <row r="23" ht="20.05" customHeight="1">
      <c r="B23" s="29"/>
      <c r="C23" s="20">
        <v>51</v>
      </c>
      <c r="D23" s="21">
        <v>930</v>
      </c>
      <c r="E23" s="18">
        <f>D23-C23</f>
        <v>879</v>
      </c>
      <c r="F23" s="21">
        <f>89+132+4+1</f>
        <v>226</v>
      </c>
      <c r="G23" s="18">
        <v>366</v>
      </c>
      <c r="H23" s="18">
        <v>564</v>
      </c>
      <c r="I23" s="18">
        <f>G23+H23-C23-E23</f>
        <v>0</v>
      </c>
      <c r="J23" s="18">
        <f>C23-G23</f>
        <v>-315</v>
      </c>
      <c r="K23" s="21"/>
    </row>
    <row r="24" ht="20.05" customHeight="1">
      <c r="B24" s="30">
        <v>2021</v>
      </c>
      <c r="C24" s="17">
        <v>277</v>
      </c>
      <c r="D24" s="18">
        <v>1161</v>
      </c>
      <c r="E24" s="18">
        <f>D24-C24</f>
        <v>884</v>
      </c>
      <c r="F24" s="18">
        <f>96+187+3</f>
        <v>286</v>
      </c>
      <c r="G24" s="18">
        <v>439</v>
      </c>
      <c r="H24" s="18">
        <v>722</v>
      </c>
      <c r="I24" s="18">
        <f>G24+H24-C24-E24</f>
        <v>0</v>
      </c>
      <c r="J24" s="18">
        <f>C24-G24</f>
        <v>-162</v>
      </c>
      <c r="K24" s="18"/>
    </row>
    <row r="25" ht="20.05" customHeight="1">
      <c r="B25" s="29"/>
      <c r="C25" s="17">
        <v>278</v>
      </c>
      <c r="D25" s="18">
        <v>1191</v>
      </c>
      <c r="E25" s="18">
        <f>D25-C25</f>
        <v>913</v>
      </c>
      <c r="F25" s="18">
        <f>108+205+8</f>
        <v>321</v>
      </c>
      <c r="G25" s="18">
        <v>455</v>
      </c>
      <c r="H25" s="18">
        <v>736</v>
      </c>
      <c r="I25" s="18">
        <f>G25+H25-C25-E25</f>
        <v>0</v>
      </c>
      <c r="J25" s="18">
        <f>C25-G25</f>
        <v>-177</v>
      </c>
      <c r="K25" s="18"/>
    </row>
    <row r="26" ht="20.05" customHeight="1">
      <c r="B26" s="29"/>
      <c r="C26" s="17">
        <v>203</v>
      </c>
      <c r="D26" s="18">
        <v>1170</v>
      </c>
      <c r="E26" s="18">
        <f>D26-C26</f>
        <v>967</v>
      </c>
      <c r="F26" s="18">
        <f>120+225+11</f>
        <v>356</v>
      </c>
      <c r="G26" s="18">
        <v>413</v>
      </c>
      <c r="H26" s="18">
        <v>757</v>
      </c>
      <c r="I26" s="18">
        <f>G26+H26-C26-E26</f>
        <v>0</v>
      </c>
      <c r="J26" s="18">
        <f>C26-G26</f>
        <v>-210</v>
      </c>
      <c r="K26" s="18"/>
    </row>
    <row r="27" ht="20.05" customHeight="1">
      <c r="B27" s="29"/>
      <c r="C27" s="17">
        <v>185</v>
      </c>
      <c r="D27" s="18">
        <v>1279</v>
      </c>
      <c r="E27" s="18">
        <f>D27-C27</f>
        <v>1094</v>
      </c>
      <c r="F27" s="18">
        <f>131+241+16</f>
        <v>388</v>
      </c>
      <c r="G27" s="18">
        <v>499</v>
      </c>
      <c r="H27" s="18">
        <v>780</v>
      </c>
      <c r="I27" s="18">
        <f>G27+H27-C27-E27</f>
        <v>0</v>
      </c>
      <c r="J27" s="18">
        <f>C27-G27</f>
        <v>-314</v>
      </c>
      <c r="K27" s="18">
        <f>J27</f>
        <v>-314</v>
      </c>
    </row>
    <row r="28" ht="20.05" customHeight="1">
      <c r="B28" s="30">
        <v>2022</v>
      </c>
      <c r="C28" s="17"/>
      <c r="D28" s="18"/>
      <c r="E28" s="18"/>
      <c r="F28" s="18"/>
      <c r="G28" s="18"/>
      <c r="H28" s="18"/>
      <c r="I28" s="18"/>
      <c r="J28" s="18"/>
      <c r="K28" s="18">
        <f>'Model'!F31</f>
        <v>-215.315519285942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7" customWidth="1"/>
    <col min="2" max="2" width="8.55469" style="37" customWidth="1"/>
    <col min="3" max="5" width="9.83594" style="37" customWidth="1"/>
    <col min="6" max="16384" width="16.3516" style="37" customWidth="1"/>
  </cols>
  <sheetData>
    <row r="1" ht="40" customHeight="1"/>
    <row r="2" ht="27.65" customHeight="1">
      <c r="B2" t="s" s="2">
        <v>57</v>
      </c>
      <c r="C2" s="2"/>
      <c r="D2" s="2"/>
      <c r="E2" s="2"/>
    </row>
    <row r="3" ht="20.25" customHeight="1">
      <c r="B3" s="4"/>
      <c r="C3" t="s" s="38">
        <v>58</v>
      </c>
      <c r="D3" t="s" s="38">
        <v>59</v>
      </c>
      <c r="E3" t="s" s="38">
        <v>60</v>
      </c>
    </row>
    <row r="4" ht="20.25" customHeight="1">
      <c r="B4" s="26">
        <v>2018</v>
      </c>
      <c r="C4" s="39">
        <v>528</v>
      </c>
      <c r="D4" s="34"/>
      <c r="E4" s="34"/>
    </row>
    <row r="5" ht="20.05" customHeight="1">
      <c r="B5" s="29"/>
      <c r="C5" s="40">
        <v>671</v>
      </c>
      <c r="D5" s="18"/>
      <c r="E5" s="18"/>
    </row>
    <row r="6" ht="20.05" customHeight="1">
      <c r="B6" s="29"/>
      <c r="C6" s="40">
        <v>540</v>
      </c>
      <c r="D6" s="18"/>
      <c r="E6" s="18"/>
    </row>
    <row r="7" ht="20.05" customHeight="1">
      <c r="B7" s="29"/>
      <c r="C7" s="40">
        <v>700</v>
      </c>
      <c r="D7" s="18"/>
      <c r="E7" s="18"/>
    </row>
    <row r="8" ht="20.05" customHeight="1">
      <c r="B8" s="30">
        <v>2019</v>
      </c>
      <c r="C8" s="40">
        <v>678</v>
      </c>
      <c r="D8" s="18"/>
      <c r="E8" s="18"/>
    </row>
    <row r="9" ht="20.05" customHeight="1">
      <c r="B9" s="29"/>
      <c r="C9" s="40">
        <v>944</v>
      </c>
      <c r="D9" s="18"/>
      <c r="E9" s="18"/>
    </row>
    <row r="10" ht="20.05" customHeight="1">
      <c r="B10" s="29"/>
      <c r="C10" s="41">
        <v>1245</v>
      </c>
      <c r="D10" s="31"/>
      <c r="E10" s="31"/>
    </row>
    <row r="11" ht="20.05" customHeight="1">
      <c r="B11" s="29"/>
      <c r="C11" s="41">
        <v>1070</v>
      </c>
      <c r="D11" s="31"/>
      <c r="E11" s="31"/>
    </row>
    <row r="12" ht="20.05" customHeight="1">
      <c r="B12" s="30">
        <v>2020</v>
      </c>
      <c r="C12" s="41">
        <v>1015</v>
      </c>
      <c r="D12" s="31"/>
      <c r="E12" s="31"/>
    </row>
    <row r="13" ht="20.05" customHeight="1">
      <c r="B13" s="29"/>
      <c r="C13" s="41">
        <v>1365</v>
      </c>
      <c r="D13" s="31"/>
      <c r="E13" s="31"/>
    </row>
    <row r="14" ht="20.05" customHeight="1">
      <c r="B14" s="29"/>
      <c r="C14" s="41">
        <v>1615</v>
      </c>
      <c r="D14" s="31"/>
      <c r="E14" s="31"/>
    </row>
    <row r="15" ht="20.05" customHeight="1">
      <c r="B15" s="29"/>
      <c r="C15" s="17">
        <v>2430</v>
      </c>
      <c r="D15" s="31"/>
      <c r="E15" s="31"/>
    </row>
    <row r="16" ht="20.05" customHeight="1">
      <c r="B16" s="30">
        <v>2021</v>
      </c>
      <c r="C16" s="17">
        <v>2150</v>
      </c>
      <c r="D16" s="31"/>
      <c r="E16" s="31"/>
    </row>
    <row r="17" ht="20.05" customHeight="1">
      <c r="B17" s="29"/>
      <c r="C17" s="17">
        <v>2940</v>
      </c>
      <c r="D17" s="31"/>
      <c r="E17" s="31"/>
    </row>
    <row r="18" ht="20.05" customHeight="1">
      <c r="B18" s="29"/>
      <c r="C18" s="17">
        <v>2460</v>
      </c>
      <c r="D18" s="31"/>
      <c r="E18" s="31"/>
    </row>
    <row r="19" ht="20.05" customHeight="1">
      <c r="B19" s="29"/>
      <c r="C19" s="17">
        <v>3890</v>
      </c>
      <c r="D19" s="31"/>
      <c r="E19" s="31"/>
    </row>
    <row r="20" ht="20.05" customHeight="1">
      <c r="B20" s="30">
        <v>2022</v>
      </c>
      <c r="C20" s="17">
        <v>3750</v>
      </c>
      <c r="D20" s="18">
        <f>C20</f>
        <v>3750</v>
      </c>
      <c r="E20" s="18">
        <v>2198.288576199040</v>
      </c>
    </row>
    <row r="21" ht="20.05" customHeight="1">
      <c r="B21" s="29"/>
      <c r="C21" s="17"/>
      <c r="D21" s="18">
        <f>'Model'!F44</f>
        <v>1956.115423375710</v>
      </c>
      <c r="E21" s="3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4844" style="42" customWidth="1"/>
    <col min="2" max="7" width="9.35938" style="42" customWidth="1"/>
    <col min="8" max="16384" width="16.3516" style="42" customWidth="1"/>
  </cols>
  <sheetData>
    <row r="1" ht="27.65" customHeight="1">
      <c r="A1" t="s" s="2">
        <v>61</v>
      </c>
      <c r="B1" s="2"/>
      <c r="C1" s="2"/>
      <c r="D1" s="2"/>
      <c r="E1" s="2"/>
      <c r="F1" s="2"/>
      <c r="G1" s="2"/>
    </row>
    <row r="2" ht="20.25" customHeight="1">
      <c r="A2" t="s" s="5">
        <v>1</v>
      </c>
      <c r="B2" t="s" s="5">
        <v>12</v>
      </c>
      <c r="C2" t="s" s="5">
        <v>26</v>
      </c>
      <c r="D2" t="s" s="5">
        <v>62</v>
      </c>
      <c r="E2" t="s" s="5">
        <v>12</v>
      </c>
      <c r="F2" t="s" s="5">
        <v>26</v>
      </c>
      <c r="G2" t="s" s="5">
        <v>62</v>
      </c>
    </row>
    <row r="3" ht="20.25" customHeight="1">
      <c r="A3" s="26">
        <v>2012</v>
      </c>
      <c r="B3" s="27"/>
      <c r="C3" s="28">
        <f>1.042+0.26+4.9</f>
        <v>6.202</v>
      </c>
      <c r="D3" s="28">
        <f>B3+C3</f>
        <v>6.202</v>
      </c>
      <c r="E3" s="28">
        <f>B3</f>
        <v>0</v>
      </c>
      <c r="F3" s="28">
        <f>C3</f>
        <v>6.202</v>
      </c>
      <c r="G3" s="28">
        <f>D3</f>
        <v>6.202</v>
      </c>
    </row>
    <row r="4" ht="20.05" customHeight="1">
      <c r="A4" s="30">
        <v>2013</v>
      </c>
      <c r="B4" s="15"/>
      <c r="C4" s="16">
        <f>7.868+5.679</f>
        <v>13.547</v>
      </c>
      <c r="D4" s="16">
        <f>B4+C4</f>
        <v>13.547</v>
      </c>
      <c r="E4" s="16">
        <f>B4+E3</f>
        <v>0</v>
      </c>
      <c r="F4" s="16">
        <f>C4+F3</f>
        <v>19.749</v>
      </c>
      <c r="G4" s="16">
        <f>D4+G3</f>
        <v>19.749</v>
      </c>
    </row>
    <row r="5" ht="20.05" customHeight="1">
      <c r="A5" s="30">
        <v>2014</v>
      </c>
      <c r="B5" s="15"/>
      <c r="C5" s="16">
        <v>6.702</v>
      </c>
      <c r="D5" s="16">
        <f>B5+C5</f>
        <v>6.702</v>
      </c>
      <c r="E5" s="16">
        <f>B5+E4</f>
        <v>0</v>
      </c>
      <c r="F5" s="16">
        <f>C5+F4</f>
        <v>26.451</v>
      </c>
      <c r="G5" s="16">
        <f>D5+G4</f>
        <v>26.451</v>
      </c>
    </row>
    <row r="6" ht="20.05" customHeight="1">
      <c r="A6" s="30">
        <v>2015</v>
      </c>
      <c r="B6" s="15"/>
      <c r="C6" s="16">
        <f>3.678+67.455</f>
        <v>71.133</v>
      </c>
      <c r="D6" s="16">
        <f>B6+C6</f>
        <v>71.133</v>
      </c>
      <c r="E6" s="16">
        <f>B6+E5</f>
        <v>0</v>
      </c>
      <c r="F6" s="16">
        <f>C6+F5</f>
        <v>97.584</v>
      </c>
      <c r="G6" s="16">
        <f>D6+G5</f>
        <v>97.584</v>
      </c>
    </row>
    <row r="7" ht="20.05" customHeight="1">
      <c r="A7" s="30">
        <v>2016</v>
      </c>
      <c r="B7" s="15">
        <f>97+25-1.93</f>
        <v>120.07</v>
      </c>
      <c r="C7" s="16"/>
      <c r="D7" s="16">
        <f>B7+C7</f>
        <v>120.07</v>
      </c>
      <c r="E7" s="16">
        <f>B7+E6</f>
        <v>120.07</v>
      </c>
      <c r="F7" s="16">
        <f>C7+F6</f>
        <v>97.584</v>
      </c>
      <c r="G7" s="16">
        <f>D7+G6</f>
        <v>217.654</v>
      </c>
    </row>
    <row r="8" ht="20.05" customHeight="1">
      <c r="A8" s="30">
        <v>2017</v>
      </c>
      <c r="B8" s="15">
        <f>29-0.618-28.26</f>
        <v>0.122</v>
      </c>
      <c r="C8" s="16"/>
      <c r="D8" s="16">
        <f>B8+C8</f>
        <v>0.122</v>
      </c>
      <c r="E8" s="16">
        <f>B8+E7</f>
        <v>120.192</v>
      </c>
      <c r="F8" s="16">
        <f>C8+F7</f>
        <v>97.584</v>
      </c>
      <c r="G8" s="16">
        <f>D8+G7</f>
        <v>217.776</v>
      </c>
    </row>
    <row r="9" ht="20.05" customHeight="1">
      <c r="A9" s="30">
        <v>2018</v>
      </c>
      <c r="B9" s="15">
        <f>-57.533+11.599+235-199.694-27.661</f>
        <v>-38.289</v>
      </c>
      <c r="C9" s="16">
        <f>91.69-0.009</f>
        <v>91.681</v>
      </c>
      <c r="D9" s="16">
        <f>B9+C9</f>
        <v>53.392</v>
      </c>
      <c r="E9" s="16">
        <f>B9+E8</f>
        <v>81.90300000000001</v>
      </c>
      <c r="F9" s="16">
        <f>C9+F8</f>
        <v>189.265</v>
      </c>
      <c r="G9" s="16">
        <f>D9+G8</f>
        <v>271.168</v>
      </c>
    </row>
    <row r="10" ht="20.05" customHeight="1">
      <c r="A10" s="30">
        <v>2019</v>
      </c>
      <c r="B10" s="15">
        <f>100-106-3.5</f>
        <v>-9.5</v>
      </c>
      <c r="C10" s="16">
        <f>59.727</f>
        <v>59.727</v>
      </c>
      <c r="D10" s="16">
        <f>B10+C10</f>
        <v>50.227</v>
      </c>
      <c r="E10" s="16">
        <f>B10+E9</f>
        <v>72.40300000000001</v>
      </c>
      <c r="F10" s="16">
        <f>C10+F9</f>
        <v>248.992</v>
      </c>
      <c r="G10" s="16">
        <f>D10+G9</f>
        <v>321.395</v>
      </c>
    </row>
    <row r="11" ht="20.05" customHeight="1">
      <c r="A11" s="30">
        <v>2020</v>
      </c>
      <c r="B11" s="15">
        <f>116.225-140</f>
        <v>-23.775</v>
      </c>
      <c r="C11" s="16">
        <v>1.665</v>
      </c>
      <c r="D11" s="16">
        <f>B11+C11</f>
        <v>-22.11</v>
      </c>
      <c r="E11" s="16">
        <f>B11+E10</f>
        <v>48.628</v>
      </c>
      <c r="F11" s="16">
        <f>C11+F10</f>
        <v>250.657</v>
      </c>
      <c r="G11" s="16">
        <f>D11+G10</f>
        <v>299.285</v>
      </c>
    </row>
    <row r="12" ht="20.05" customHeight="1">
      <c r="A12" s="30">
        <v>2021</v>
      </c>
      <c r="B12" s="15">
        <f>103.834-56.809+125-142.003-13.98</f>
        <v>16.042</v>
      </c>
      <c r="C12" s="16">
        <f>172-0.283+9.925</f>
        <v>181.642</v>
      </c>
      <c r="D12" s="16">
        <f>B12+C12</f>
        <v>197.684</v>
      </c>
      <c r="E12" s="16">
        <f>B12+E11</f>
        <v>64.67</v>
      </c>
      <c r="F12" s="16">
        <f>C12+F11</f>
        <v>432.299</v>
      </c>
      <c r="G12" s="16">
        <f>D12+G11</f>
        <v>496.969</v>
      </c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