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<sst xmlns="http://schemas.openxmlformats.org/spreadsheetml/2006/main" uniqueCount="90">
  <si>
    <t>Financial model</t>
  </si>
  <si>
    <t>Rpbn</t>
  </si>
  <si>
    <t>4Q 2022</t>
  </si>
  <si>
    <t xml:space="preserve">Cashflow </t>
  </si>
  <si>
    <t xml:space="preserve">Growth </t>
  </si>
  <si>
    <t xml:space="preserve">Sales </t>
  </si>
  <si>
    <t xml:space="preserve">Cost ratio </t>
  </si>
  <si>
    <t xml:space="preserve">Cash costs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</si>
  <si>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</si>
  <si>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</si>
  <si>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</si>
  <si>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</si>
  <si>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</si>
  <si>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</si>
  <si>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</si>
  <si>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</si>
  <si>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</si>
  <si>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</si>
  <si>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</si>
  <si>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>Ending</t>
  </si>
  <si>
    <t>Profit</t>
  </si>
  <si>
    <t xml:space="preserve">Non cash costs </t>
  </si>
  <si>
    <t>Net profit</t>
  </si>
  <si>
    <t>Balance sheet</t>
  </si>
  <si>
    <t xml:space="preserve">Other assets </t>
  </si>
  <si>
    <t xml:space="preserve">Depreciation </t>
  </si>
  <si>
    <t>Net other assets</t>
  </si>
  <si>
    <t xml:space="preserve">Check </t>
  </si>
  <si>
    <t xml:space="preserve">Net debt 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</si>
  <si>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</si>
  <si>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</si>
  <si>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</si>
  <si>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</si>
  <si>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</si>
  <si>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</si>
  <si>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</si>
  <si>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</si>
  <si>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</si>
  <si>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</si>
  <si>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</si>
  <si>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</si>
  <si>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</si>
  <si>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</si>
  <si>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</si>
  <si>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FX</t>
  </si>
  <si>
    <t xml:space="preserve">Net profit </t>
  </si>
  <si>
    <t xml:space="preserve">Sales growth </t>
  </si>
  <si>
    <t>Cashflow</t>
  </si>
  <si>
    <t xml:space="preserve">Receipts </t>
  </si>
  <si>
    <t xml:space="preserve">Leases </t>
  </si>
  <si>
    <t xml:space="preserve">Free cashflow </t>
  </si>
  <si>
    <t xml:space="preserve">Capital </t>
  </si>
  <si>
    <t>Cash</t>
  </si>
  <si>
    <t>Assets</t>
  </si>
  <si>
    <t>Other assets</t>
  </si>
  <si>
    <t>Net cash</t>
  </si>
  <si>
    <t>Share price</t>
  </si>
  <si>
    <t>MAPB</t>
  </si>
  <si>
    <t>Target</t>
  </si>
  <si>
    <t xml:space="preserve">Previous </t>
  </si>
  <si>
    <t>Total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</si>
  <si>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</si>
  <si>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</si>
  <si>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</si>
  <si>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</si>
  <si>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</si>
  <si>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</si>
  <si>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</si>
  <si>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</si>
  <si>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</si>
  <si>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</si>
  <si>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</si>
  <si>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</si>
  <si>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</si>
  <si>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</si>
  <si>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</si>
  <si>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</si>
  <si>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</si>
  <si>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</si>
  <si>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</si>
  <si>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</si>
  <si>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</si>
  <si>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 xml:space="preserve">equity </t>
  </si>
  <si>
    <t>was</t>
  </si>
  <si>
    <t xml:space="preserve">The peak in cumulative equity </t>
  </si>
  <si>
    <t>is</t>
  </si>
  <si>
    <t>down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</si>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</sst>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#,##0.0%"/>
    <numFmt numFmtId="62" formatCode="mmmm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3896"/>
          <c:y val="0.0426778"/>
          <c:w val="0.848205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90268"/>
          <c:y val="0.0826327"/>
          <c:w val="0.495462"/>
          <c:h val="0.1103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6105"/>
          <c:y val="0.0446026"/>
          <c:w val="0.842249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'Capital'!$A$3:$A$11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'Capital'!$E$3:$E$11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725.000000</c:v>
                </c:pt>
                <c:pt idx="4">
                  <c:v>725.000000</c:v>
                </c:pt>
                <c:pt idx="5">
                  <c:v>725.000000</c:v>
                </c:pt>
                <c:pt idx="6">
                  <c:v>725.000000</c:v>
                </c:pt>
                <c:pt idx="7">
                  <c:v>725.000000</c:v>
                </c:pt>
                <c:pt idx="8">
                  <c:v>725.000000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'Capital'!$A$3:$A$11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'Capital'!$F$3:$F$11</c:f>
              <c:numCache>
                <c:ptCount val="9"/>
                <c:pt idx="0">
                  <c:v>12.500000</c:v>
                </c:pt>
                <c:pt idx="1">
                  <c:v>12.500000</c:v>
                </c:pt>
                <c:pt idx="2">
                  <c:v>12.500000</c:v>
                </c:pt>
                <c:pt idx="3">
                  <c:v>-133.500000</c:v>
                </c:pt>
                <c:pt idx="4">
                  <c:v>-118.500000</c:v>
                </c:pt>
                <c:pt idx="5">
                  <c:v>-44.500000</c:v>
                </c:pt>
                <c:pt idx="6">
                  <c:v>-44.500000</c:v>
                </c:pt>
                <c:pt idx="7">
                  <c:v>-44.500000</c:v>
                </c:pt>
                <c:pt idx="8">
                  <c:v>-44.500000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'Capital'!$A$3:$A$11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'Capital'!$G$3:$G$11</c:f>
              <c:numCache>
                <c:ptCount val="9"/>
                <c:pt idx="0">
                  <c:v>12.500000</c:v>
                </c:pt>
                <c:pt idx="1">
                  <c:v>12.500000</c:v>
                </c:pt>
                <c:pt idx="2">
                  <c:v>12.500000</c:v>
                </c:pt>
                <c:pt idx="3">
                  <c:v>591.500000</c:v>
                </c:pt>
                <c:pt idx="4">
                  <c:v>606.500000</c:v>
                </c:pt>
                <c:pt idx="5">
                  <c:v>680.500000</c:v>
                </c:pt>
                <c:pt idx="6">
                  <c:v>680.500000</c:v>
                </c:pt>
                <c:pt idx="7">
                  <c:v>680.500000</c:v>
                </c:pt>
                <c:pt idx="8">
                  <c:v>680.500000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0"/>
        <c:minorUnit val="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249703"/>
          <c:y val="0.0627971"/>
          <c:w val="0.4082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763027</xdr:colOff>
      <xdr:row>2</xdr:row>
      <xdr:rowOff>28323</xdr:rowOff>
    </xdr:from>
    <xdr:to>
      <xdr:col>13</xdr:col>
      <xdr:colOff>546252</xdr:colOff>
      <xdr:row>49</xdr:row>
      <xdr:rowOff>100170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23927" y="895733"/>
          <a:ext cx="8495426" cy="120447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17</xdr:col>
      <xdr:colOff>358964</xdr:colOff>
      <xdr:row>19</xdr:row>
      <xdr:rowOff>252035</xdr:rowOff>
    </xdr:from>
    <xdr:to>
      <xdr:col>19</xdr:col>
      <xdr:colOff>1048210</xdr:colOff>
      <xdr:row>33</xdr:row>
      <xdr:rowOff>195723</xdr:rowOff>
    </xdr:to>
    <xdr:graphicFrame>
      <xdr:nvGraphicFramePr>
        <xdr:cNvPr id="4" name="2D Line Chart"/>
        <xdr:cNvGraphicFramePr/>
      </xdr:nvGraphicFramePr>
      <xdr:xfrm>
        <a:off x="18215164" y="5111055"/>
        <a:ext cx="3178447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116338</xdr:colOff>
      <xdr:row>25</xdr:row>
      <xdr:rowOff>225053</xdr:rowOff>
    </xdr:from>
    <xdr:to>
      <xdr:col>5</xdr:col>
      <xdr:colOff>408629</xdr:colOff>
      <xdr:row>33</xdr:row>
      <xdr:rowOff>153489</xdr:rowOff>
    </xdr:to>
    <xdr:graphicFrame>
      <xdr:nvGraphicFramePr>
        <xdr:cNvPr id="6" name="2D Line Chart"/>
        <xdr:cNvGraphicFramePr/>
      </xdr:nvGraphicFramePr>
      <xdr:xfrm>
        <a:off x="929138" y="8011423"/>
        <a:ext cx="3543492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72073</xdr:colOff>
      <xdr:row>23</xdr:row>
      <xdr:rowOff>1309</xdr:rowOff>
    </xdr:from>
    <xdr:to>
      <xdr:col>5</xdr:col>
      <xdr:colOff>716736</xdr:colOff>
      <xdr:row>25</xdr:row>
      <xdr:rowOff>322190</xdr:rowOff>
    </xdr:to>
    <xdr:sp>
      <xdr:nvSpPr>
        <xdr:cNvPr id="7" name="MAPB HAS 681 BILLION RUPIAH TO PAY"/>
        <xdr:cNvSpPr txBox="1"/>
      </xdr:nvSpPr>
      <xdr:spPr>
        <a:xfrm>
          <a:off x="884873" y="7126009"/>
          <a:ext cx="3895864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MAPB HAS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681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BILLION RUPIAH TO PAY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72656" style="1" customWidth="1"/>
    <col min="2" max="2" width="16.1484" style="1" customWidth="1"/>
    <col min="3" max="6" width="8.875" style="1" customWidth="1"/>
    <col min="7" max="16384" width="16.3516" style="1" customWidth="1"/>
  </cols>
  <sheetData>
    <row r="1" ht="40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s="4"/>
      <c r="F3" t="s" s="6">
        <v>2</v>
      </c>
    </row>
    <row r="4" ht="20.25" customHeight="1">
      <c r="B4" t="s" s="7">
        <v>3</v>
      </c>
      <c r="C4" s="8">
        <f>AVERAGE('Sales'!H23:H26)</f>
        <v>0.117327706036552</v>
      </c>
      <c r="D4" s="9"/>
      <c r="E4" s="9"/>
      <c r="F4" s="10">
        <f>AVERAGE(C5:F5)</f>
        <v>0.05</v>
      </c>
    </row>
    <row r="5" ht="20.05" customHeight="1">
      <c r="B5" t="s" s="11">
        <v>4</v>
      </c>
      <c r="C5" s="12">
        <v>0.01</v>
      </c>
      <c r="D5" s="13">
        <v>0.07000000000000001</v>
      </c>
      <c r="E5" s="13">
        <v>0.07000000000000001</v>
      </c>
      <c r="F5" s="13">
        <v>0.05</v>
      </c>
    </row>
    <row r="6" ht="20.05" customHeight="1">
      <c r="B6" t="s" s="11">
        <v>5</v>
      </c>
      <c r="C6" s="14">
        <f>'Sales'!C26*(1+C5)</f>
        <v>786.689</v>
      </c>
      <c r="D6" s="15">
        <f>C6*(1+D5)</f>
        <v>841.75723</v>
      </c>
      <c r="E6" s="15">
        <f>D6*(1+E5)</f>
        <v>900.6802361</v>
      </c>
      <c r="F6" s="15">
        <f>E6*(1+F5)</f>
        <v>945.714247905</v>
      </c>
    </row>
    <row r="7" ht="20.05" customHeight="1">
      <c r="B7" t="s" s="11">
        <v>6</v>
      </c>
      <c r="C7" s="16">
        <f>AVERAGE('Sales'!J26)</f>
        <v>-0.792498900694063</v>
      </c>
      <c r="D7" s="13">
        <f>C7</f>
        <v>-0.792498900694063</v>
      </c>
      <c r="E7" s="13">
        <f>D7</f>
        <v>-0.792498900694063</v>
      </c>
      <c r="F7" s="13">
        <f>E7</f>
        <v>-0.792498900694063</v>
      </c>
    </row>
    <row r="8" ht="20.05" customHeight="1">
      <c r="B8" t="s" s="11">
        <v>7</v>
      </c>
      <c r="C8" s="17">
        <f>C6*C7</f>
        <v>-623.4501676881119</v>
      </c>
      <c r="D8" s="18">
        <f>D6*D7</f>
        <v>-667.0916794262801</v>
      </c>
      <c r="E8" s="18">
        <f>E6*E7</f>
        <v>-713.7880969861189</v>
      </c>
      <c r="F8" s="18">
        <f>F6*F7</f>
        <v>-749.477501835425</v>
      </c>
    </row>
    <row r="9" ht="20.05" customHeight="1">
      <c r="B9" t="s" s="11">
        <v>8</v>
      </c>
      <c r="C9" s="17">
        <f>C6+C8</f>
        <v>163.238832311888</v>
      </c>
      <c r="D9" s="18">
        <f>D6+D8</f>
        <v>174.665550573720</v>
      </c>
      <c r="E9" s="18">
        <f>E6+E8</f>
        <v>186.892139113881</v>
      </c>
      <c r="F9" s="18">
        <f>F6+F8</f>
        <v>196.236746069575</v>
      </c>
    </row>
    <row r="10" ht="20.05" customHeight="1">
      <c r="B10" t="s" s="11">
        <v>9</v>
      </c>
      <c r="C10" s="17">
        <f>AVERAGE('Cashflow'!E24:E27)</f>
        <v>-61.5</v>
      </c>
      <c r="D10" s="18">
        <f>C10</f>
        <v>-61.5</v>
      </c>
      <c r="E10" s="18">
        <f>D10</f>
        <v>-61.5</v>
      </c>
      <c r="F10" s="18">
        <f>E10</f>
        <v>-61.5</v>
      </c>
    </row>
    <row r="11" ht="20.05" customHeight="1">
      <c r="B11" t="s" s="11">
        <v>10</v>
      </c>
      <c r="C11" s="17">
        <f>AVERAGE('Cashflow'!F24:F27)</f>
        <v>-53</v>
      </c>
      <c r="D11" s="18">
        <f>C11</f>
        <v>-53</v>
      </c>
      <c r="E11" s="18">
        <f>D11</f>
        <v>-53</v>
      </c>
      <c r="F11" s="18">
        <f>E11</f>
        <v>-53</v>
      </c>
    </row>
    <row r="12" ht="20.05" customHeight="1">
      <c r="B12" t="s" s="11">
        <v>11</v>
      </c>
      <c r="C12" s="17">
        <f>C13+C16+C14</f>
        <v>-71.17164969356639</v>
      </c>
      <c r="D12" s="18">
        <f>D13+D16+D14</f>
        <v>-71.532165172116</v>
      </c>
      <c r="E12" s="18">
        <f>E13+E16+E14</f>
        <v>-72.28601673416431</v>
      </c>
      <c r="F12" s="18">
        <f>F13+F16+F14</f>
        <v>-72.32098007087249</v>
      </c>
    </row>
    <row r="13" ht="20.05" customHeight="1">
      <c r="B13" t="s" s="11">
        <v>12</v>
      </c>
      <c r="C13" s="17">
        <f>-('Balance sheet'!G23)/20</f>
        <v>-61.35</v>
      </c>
      <c r="D13" s="18">
        <f>-C28/20</f>
        <v>-58.2825</v>
      </c>
      <c r="E13" s="18">
        <f>-D28/20</f>
        <v>-55.368375</v>
      </c>
      <c r="F13" s="18">
        <f>-E28/20</f>
        <v>-52.59995625</v>
      </c>
    </row>
    <row r="14" ht="20.05" customHeight="1">
      <c r="B14" t="s" s="11">
        <v>13</v>
      </c>
      <c r="C14" s="17">
        <f>-MIN(0,C17)</f>
        <v>0</v>
      </c>
      <c r="D14" s="18">
        <f>-MIN(C29,D17)</f>
        <v>0</v>
      </c>
      <c r="E14" s="18">
        <f>-MIN(D29,E17)</f>
        <v>0</v>
      </c>
      <c r="F14" s="18">
        <f>-MIN(E29,F17)</f>
        <v>0</v>
      </c>
    </row>
    <row r="15" ht="20.05" customHeight="1">
      <c r="B15" t="s" s="11">
        <v>14</v>
      </c>
      <c r="C15" s="19">
        <v>0.3</v>
      </c>
      <c r="D15" s="18"/>
      <c r="E15" s="18"/>
      <c r="F15" s="18"/>
    </row>
    <row r="16" ht="20.05" customHeight="1">
      <c r="B16" t="s" s="11">
        <v>15</v>
      </c>
      <c r="C16" s="17">
        <f>IF(C23&gt;0,-C23*$C$15,0)</f>
        <v>-9.8216496935664</v>
      </c>
      <c r="D16" s="18">
        <f>IF(D23&gt;0,-D23*$C$15,0)</f>
        <v>-13.249665172116</v>
      </c>
      <c r="E16" s="18">
        <f>IF(E23&gt;0,-E23*$C$15,0)</f>
        <v>-16.9176417341643</v>
      </c>
      <c r="F16" s="18">
        <f>IF(F23&gt;0,-F23*$C$15,0)</f>
        <v>-19.7210238208725</v>
      </c>
    </row>
    <row r="17" ht="20.05" customHeight="1">
      <c r="B17" t="s" s="11">
        <v>16</v>
      </c>
      <c r="C17" s="17">
        <f>C9+C10+C13+C16</f>
        <v>30.5671826183216</v>
      </c>
      <c r="D17" s="18">
        <f>D9+D10+D13+D16</f>
        <v>41.633385401604</v>
      </c>
      <c r="E17" s="18">
        <f>E9+E10+E13+E16</f>
        <v>53.1061223797167</v>
      </c>
      <c r="F17" s="18">
        <f>F9+F10+F13+F16</f>
        <v>62.4157659987025</v>
      </c>
    </row>
    <row r="18" ht="20.05" customHeight="1">
      <c r="B18" t="s" s="11">
        <v>17</v>
      </c>
      <c r="C18" s="17">
        <f>'Balance sheet'!C23</f>
        <v>256.3</v>
      </c>
      <c r="D18" s="18">
        <f>C20</f>
        <v>286.867182618322</v>
      </c>
      <c r="E18" s="18">
        <f>D20</f>
        <v>328.500568019926</v>
      </c>
      <c r="F18" s="18">
        <f>E20</f>
        <v>381.606690399643</v>
      </c>
    </row>
    <row r="19" ht="20.05" customHeight="1">
      <c r="B19" t="s" s="11">
        <v>18</v>
      </c>
      <c r="C19" s="17">
        <f>C9+C10+C12</f>
        <v>30.5671826183216</v>
      </c>
      <c r="D19" s="18">
        <f>D9+D10+D12</f>
        <v>41.633385401604</v>
      </c>
      <c r="E19" s="18">
        <f>E9+E10+E12</f>
        <v>53.1061223797167</v>
      </c>
      <c r="F19" s="18">
        <f>F9+F10+F12</f>
        <v>62.4157659987025</v>
      </c>
    </row>
    <row r="20" ht="20.05" customHeight="1">
      <c r="B20" t="s" s="11">
        <v>19</v>
      </c>
      <c r="C20" s="17">
        <f>C18+C19</f>
        <v>286.867182618322</v>
      </c>
      <c r="D20" s="18">
        <f>D18+D19</f>
        <v>328.500568019926</v>
      </c>
      <c r="E20" s="18">
        <f>E18+E19</f>
        <v>381.606690399643</v>
      </c>
      <c r="F20" s="18">
        <f>F18+F19</f>
        <v>444.022456398346</v>
      </c>
    </row>
    <row r="21" ht="20.05" customHeight="1">
      <c r="B21" t="s" s="20">
        <v>20</v>
      </c>
      <c r="C21" s="17"/>
      <c r="D21" s="18"/>
      <c r="E21" s="18"/>
      <c r="F21" s="21"/>
    </row>
    <row r="22" ht="20.05" customHeight="1">
      <c r="B22" t="s" s="11">
        <v>21</v>
      </c>
      <c r="C22" s="17">
        <f>-AVERAGE('Sales'!E26)</f>
        <v>-130.5</v>
      </c>
      <c r="D22" s="18">
        <f>C22</f>
        <v>-130.5</v>
      </c>
      <c r="E22" s="18">
        <f>D22</f>
        <v>-130.5</v>
      </c>
      <c r="F22" s="18">
        <f>E22</f>
        <v>-130.5</v>
      </c>
    </row>
    <row r="23" ht="20.05" customHeight="1">
      <c r="B23" t="s" s="11">
        <v>22</v>
      </c>
      <c r="C23" s="17">
        <f>C6+C8+C22</f>
        <v>32.738832311888</v>
      </c>
      <c r="D23" s="18">
        <f>D6+D8+D22</f>
        <v>44.165550573720</v>
      </c>
      <c r="E23" s="18">
        <f>E6+E8+E22</f>
        <v>56.392139113881</v>
      </c>
      <c r="F23" s="18">
        <f>F6+F8+F22</f>
        <v>65.73674606957501</v>
      </c>
    </row>
    <row r="24" ht="20.05" customHeight="1">
      <c r="B24" t="s" s="20">
        <v>23</v>
      </c>
      <c r="C24" s="17"/>
      <c r="D24" s="18"/>
      <c r="E24" s="18"/>
      <c r="F24" s="18"/>
    </row>
    <row r="25" ht="20.05" customHeight="1">
      <c r="B25" t="s" s="11">
        <v>24</v>
      </c>
      <c r="C25" s="17">
        <f>'Balance sheet'!E23+'Balance sheet'!F23-C10</f>
        <v>4173.7</v>
      </c>
      <c r="D25" s="18">
        <f>C25-D10</f>
        <v>4235.2</v>
      </c>
      <c r="E25" s="18">
        <f>D25-E10</f>
        <v>4296.7</v>
      </c>
      <c r="F25" s="18">
        <f>E25-F10</f>
        <v>4358.2</v>
      </c>
    </row>
    <row r="26" ht="20.05" customHeight="1">
      <c r="B26" t="s" s="11">
        <v>25</v>
      </c>
      <c r="C26" s="17">
        <f>'Balance sheet'!F23-C22</f>
        <v>2258</v>
      </c>
      <c r="D26" s="18">
        <f>C26-D22</f>
        <v>2388.5</v>
      </c>
      <c r="E26" s="18">
        <f>D26-E22</f>
        <v>2519</v>
      </c>
      <c r="F26" s="18">
        <f>E26-F22</f>
        <v>2649.5</v>
      </c>
    </row>
    <row r="27" ht="20.05" customHeight="1">
      <c r="B27" t="s" s="11">
        <v>26</v>
      </c>
      <c r="C27" s="17">
        <f>C25-C26</f>
        <v>1915.7</v>
      </c>
      <c r="D27" s="18">
        <f>D25-D26</f>
        <v>1846.7</v>
      </c>
      <c r="E27" s="18">
        <f>E25-E26</f>
        <v>1777.7</v>
      </c>
      <c r="F27" s="18">
        <f>F25-F26</f>
        <v>1708.7</v>
      </c>
    </row>
    <row r="28" ht="20.05" customHeight="1">
      <c r="B28" t="s" s="11">
        <v>12</v>
      </c>
      <c r="C28" s="17">
        <f>'Balance sheet'!G23+C13</f>
        <v>1165.65</v>
      </c>
      <c r="D28" s="18">
        <f>C28+D13</f>
        <v>1107.3675</v>
      </c>
      <c r="E28" s="18">
        <f>D28+E13</f>
        <v>1051.999125</v>
      </c>
      <c r="F28" s="18">
        <f>E28+F13</f>
        <v>999.3991687499999</v>
      </c>
    </row>
    <row r="29" ht="20.05" customHeight="1">
      <c r="B29" t="s" s="11">
        <v>13</v>
      </c>
      <c r="C29" s="17">
        <f>C14</f>
        <v>0</v>
      </c>
      <c r="D29" s="18">
        <f>C29+D14</f>
        <v>0</v>
      </c>
      <c r="E29" s="18">
        <f>D29+E14</f>
        <v>0</v>
      </c>
      <c r="F29" s="18">
        <f>E29+F14</f>
        <v>0</v>
      </c>
    </row>
    <row r="30" ht="20.05" customHeight="1">
      <c r="B30" t="s" s="11">
        <v>15</v>
      </c>
      <c r="C30" s="17">
        <f>'Balance sheet'!H23+C23+C16</f>
        <v>1036.917182618320</v>
      </c>
      <c r="D30" s="18">
        <f>C30+D23+D16</f>
        <v>1067.833068019920</v>
      </c>
      <c r="E30" s="18">
        <f>D30+E23+E16</f>
        <v>1107.307565399640</v>
      </c>
      <c r="F30" s="18">
        <f>E30+F23+F16</f>
        <v>1153.323287648340</v>
      </c>
    </row>
    <row r="31" ht="20.05" customHeight="1">
      <c r="B31" t="s" s="11">
        <v>27</v>
      </c>
      <c r="C31" s="17">
        <f>C28+C29+C30-C20-C27</f>
        <v>-2e-12</v>
      </c>
      <c r="D31" s="18">
        <f>D28+D29+D30-D20-D27</f>
        <v>-6e-12</v>
      </c>
      <c r="E31" s="18">
        <f>E28+E29+E30-E20-E27</f>
        <v>-3e-12</v>
      </c>
      <c r="F31" s="18">
        <f>F28+F29+F30-F20-F27</f>
        <v>-6e-12</v>
      </c>
    </row>
    <row r="32" ht="20.05" customHeight="1">
      <c r="B32" t="s" s="11">
        <v>28</v>
      </c>
      <c r="C32" s="17">
        <f>C20-C28-C29</f>
        <v>-878.782817381678</v>
      </c>
      <c r="D32" s="18">
        <f>D20-D28-D29</f>
        <v>-778.866931980074</v>
      </c>
      <c r="E32" s="18">
        <f>E20-E28-E29</f>
        <v>-670.392434600357</v>
      </c>
      <c r="F32" s="18">
        <f>F20-F28-F29</f>
        <v>-555.376712351654</v>
      </c>
    </row>
    <row r="33" ht="20.05" customHeight="1">
      <c r="B33" t="s" s="20">
        <v>29</v>
      </c>
      <c r="C33" s="17"/>
      <c r="D33" s="18"/>
      <c r="E33" s="18"/>
      <c r="F33" s="18"/>
    </row>
    <row r="34" ht="20.05" customHeight="1">
      <c r="B34" t="s" s="11">
        <v>30</v>
      </c>
      <c r="C34" s="17">
        <f>-(C12-C11)+'Cashflow'!M27</f>
        <v>-182.828350306433</v>
      </c>
      <c r="D34" s="18">
        <f>C34-(D12-D11)</f>
        <v>-164.296185134317</v>
      </c>
      <c r="E34" s="18">
        <f>D34-(E12-E11)</f>
        <v>-145.010168400153</v>
      </c>
      <c r="F34" s="18">
        <f>E34-(F12-F11)</f>
        <v>-125.689188329281</v>
      </c>
    </row>
    <row r="35" ht="20.05" customHeight="1">
      <c r="B35" t="s" s="11">
        <v>31</v>
      </c>
      <c r="C35" s="17"/>
      <c r="D35" s="18"/>
      <c r="E35" s="18"/>
      <c r="F35" s="18">
        <v>3288943703040</v>
      </c>
    </row>
    <row r="36" ht="20.05" customHeight="1">
      <c r="B36" t="s" s="11">
        <v>31</v>
      </c>
      <c r="C36" s="17"/>
      <c r="D36" s="18"/>
      <c r="E36" s="18"/>
      <c r="F36" s="18">
        <f>F35/1000000000</f>
        <v>3288.94370304</v>
      </c>
    </row>
    <row r="37" ht="20.05" customHeight="1">
      <c r="B37" t="s" s="11">
        <v>32</v>
      </c>
      <c r="C37" s="17"/>
      <c r="D37" s="18"/>
      <c r="E37" s="18"/>
      <c r="F37" s="22">
        <f>F36/(F20+F27)</f>
        <v>1.52780665861712</v>
      </c>
    </row>
    <row r="38" ht="20.05" customHeight="1">
      <c r="B38" t="s" s="11">
        <v>33</v>
      </c>
      <c r="C38" s="17"/>
      <c r="D38" s="18"/>
      <c r="E38" s="18"/>
      <c r="F38" s="23">
        <f>-(C16+D16+E16+F16)/F36</f>
        <v>0.0181547590387542</v>
      </c>
    </row>
    <row r="39" ht="20.05" customHeight="1">
      <c r="B39" t="s" s="11">
        <v>3</v>
      </c>
      <c r="C39" s="17"/>
      <c r="D39" s="18"/>
      <c r="E39" s="18"/>
      <c r="F39" s="18">
        <f>SUM(C9:F11)</f>
        <v>263.033268069064</v>
      </c>
    </row>
    <row r="40" ht="20.05" customHeight="1">
      <c r="B40" t="s" s="11">
        <v>34</v>
      </c>
      <c r="C40" s="17"/>
      <c r="D40" s="18"/>
      <c r="E40" s="18"/>
      <c r="F40" s="18">
        <f>'Balance sheet'!E23/F39</f>
        <v>7.54543337643086</v>
      </c>
    </row>
    <row r="41" ht="20.05" customHeight="1">
      <c r="B41" t="s" s="11">
        <v>29</v>
      </c>
      <c r="C41" s="17"/>
      <c r="D41" s="18"/>
      <c r="E41" s="18"/>
      <c r="F41" s="18">
        <f>F36/F39</f>
        <v>12.503907688880</v>
      </c>
    </row>
    <row r="42" ht="20.05" customHeight="1">
      <c r="B42" t="s" s="11">
        <v>35</v>
      </c>
      <c r="C42" s="17"/>
      <c r="D42" s="18"/>
      <c r="E42" s="18"/>
      <c r="F42" s="18">
        <v>17</v>
      </c>
    </row>
    <row r="43" ht="20.05" customHeight="1">
      <c r="B43" t="s" s="11">
        <v>36</v>
      </c>
      <c r="C43" s="17"/>
      <c r="D43" s="18"/>
      <c r="E43" s="18"/>
      <c r="F43" s="18">
        <f>F39*F42</f>
        <v>4471.565557174090</v>
      </c>
    </row>
    <row r="44" ht="20.05" customHeight="1">
      <c r="B44" t="s" s="11">
        <v>37</v>
      </c>
      <c r="C44" s="17"/>
      <c r="D44" s="18"/>
      <c r="E44" s="18"/>
      <c r="F44" s="18">
        <f>F36/F46</f>
        <v>2.170919936</v>
      </c>
    </row>
    <row r="45" ht="20.05" customHeight="1">
      <c r="B45" t="s" s="11">
        <v>38</v>
      </c>
      <c r="C45" s="17"/>
      <c r="D45" s="18"/>
      <c r="E45" s="18"/>
      <c r="F45" s="18">
        <f>F43/F44</f>
        <v>2059.7560891228</v>
      </c>
    </row>
    <row r="46" ht="20.05" customHeight="1">
      <c r="B46" t="s" s="11">
        <v>39</v>
      </c>
      <c r="C46" s="17"/>
      <c r="D46" s="18"/>
      <c r="E46" s="18"/>
      <c r="F46" s="18">
        <v>1515</v>
      </c>
    </row>
    <row r="47" ht="20.05" customHeight="1">
      <c r="B47" t="s" s="11">
        <v>40</v>
      </c>
      <c r="C47" s="17"/>
      <c r="D47" s="18"/>
      <c r="E47" s="18"/>
      <c r="F47" s="13">
        <f>F45/F46-1</f>
        <v>0.35957497631868</v>
      </c>
    </row>
    <row r="48" ht="20.05" customHeight="1">
      <c r="B48" t="s" s="11">
        <v>41</v>
      </c>
      <c r="C48" s="17"/>
      <c r="D48" s="18"/>
      <c r="E48" s="18"/>
      <c r="F48" s="13">
        <f>'Sales'!C26/'Sales'!C22-1</f>
        <v>0.326238719564107</v>
      </c>
    </row>
    <row r="49" ht="20.05" customHeight="1">
      <c r="B49" t="s" s="11">
        <v>42</v>
      </c>
      <c r="C49" s="17"/>
      <c r="D49" s="18"/>
      <c r="E49" s="18"/>
      <c r="F49" s="13">
        <f>('Sales'!D18+'Sales'!D26+'Sales'!D19+'Sales'!D20+'Sales'!D21+'Sales'!D22+'Sales'!D23+'Sales'!D24+'Sales'!D25)/('Sales'!C18+'Sales'!C19+'Sales'!C20+'Sales'!C21+'Sales'!C22+'Sales'!C23+'Sales'!C24+'Sales'!C26+'Sales'!C25)-1</f>
        <v>0.0818953649321013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08594" style="24" customWidth="1"/>
    <col min="2" max="2" width="6.67969" style="24" customWidth="1"/>
    <col min="3" max="11" width="9.75781" style="24" customWidth="1"/>
    <col min="12" max="16384" width="16.3516" style="24" customWidth="1"/>
  </cols>
  <sheetData>
    <row r="1" ht="27.65" customHeight="1">
      <c r="B1" t="s" s="2">
        <v>43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6">
        <v>1</v>
      </c>
      <c r="C2" t="s" s="6">
        <v>43</v>
      </c>
      <c r="D2" t="s" s="6">
        <v>35</v>
      </c>
      <c r="E2" t="s" s="6">
        <v>25</v>
      </c>
      <c r="F2" t="s" s="6">
        <v>44</v>
      </c>
      <c r="G2" t="s" s="6">
        <v>45</v>
      </c>
      <c r="H2" t="s" s="6">
        <v>46</v>
      </c>
      <c r="I2" t="s" s="6">
        <v>6</v>
      </c>
      <c r="J2" t="s" s="6">
        <v>6</v>
      </c>
      <c r="K2" t="s" s="6">
        <v>35</v>
      </c>
    </row>
    <row r="3" ht="20.25" customHeight="1">
      <c r="B3" s="25">
        <v>2016</v>
      </c>
      <c r="C3" s="26"/>
      <c r="D3" s="27"/>
      <c r="E3" s="27"/>
      <c r="F3" s="28"/>
      <c r="G3" s="28"/>
      <c r="H3" s="29"/>
      <c r="I3" s="29"/>
      <c r="J3" s="9"/>
      <c r="K3" s="9"/>
    </row>
    <row r="4" ht="20.05" customHeight="1">
      <c r="B4" s="30"/>
      <c r="C4" s="14"/>
      <c r="D4" s="15"/>
      <c r="E4" s="15"/>
      <c r="F4" s="18"/>
      <c r="G4" s="18"/>
      <c r="H4" s="31"/>
      <c r="I4" s="31"/>
      <c r="J4" s="21"/>
      <c r="K4" s="21"/>
    </row>
    <row r="5" ht="20.05" customHeight="1">
      <c r="B5" s="30"/>
      <c r="C5" s="14">
        <v>439</v>
      </c>
      <c r="D5" s="15"/>
      <c r="E5" s="15">
        <v>22</v>
      </c>
      <c r="F5" s="18">
        <v>0</v>
      </c>
      <c r="G5" s="18">
        <v>40</v>
      </c>
      <c r="H5" s="31"/>
      <c r="I5" s="31">
        <f>(E5+G5-F5-C5)/C5</f>
        <v>-0.85876993166287</v>
      </c>
      <c r="J5" s="21"/>
      <c r="K5" s="21"/>
    </row>
    <row r="6" ht="20.05" customHeight="1">
      <c r="B6" s="30"/>
      <c r="C6" s="14">
        <v>443</v>
      </c>
      <c r="D6" s="15"/>
      <c r="E6" s="15">
        <v>32</v>
      </c>
      <c r="F6" s="18">
        <v>0</v>
      </c>
      <c r="G6" s="18">
        <v>32</v>
      </c>
      <c r="H6" s="31">
        <f>C6/C5-1</f>
        <v>0.009111617312072891</v>
      </c>
      <c r="I6" s="31">
        <f>(E6+G6-F6-C6)/C6</f>
        <v>-0.855530474040632</v>
      </c>
      <c r="J6" s="21"/>
      <c r="K6" s="21"/>
    </row>
    <row r="7" ht="20.05" customHeight="1">
      <c r="B7" s="32">
        <v>2017</v>
      </c>
      <c r="C7" s="14">
        <v>439</v>
      </c>
      <c r="D7" s="15"/>
      <c r="E7" s="15">
        <v>26</v>
      </c>
      <c r="F7" s="18">
        <v>0</v>
      </c>
      <c r="G7" s="18">
        <v>15</v>
      </c>
      <c r="H7" s="31">
        <f>C7/C6-1</f>
        <v>-0.009029345372460499</v>
      </c>
      <c r="I7" s="31">
        <f>(E7+G7-F7-C7)/C7</f>
        <v>-0.9066059225512531</v>
      </c>
      <c r="J7" s="21"/>
      <c r="K7" s="21"/>
    </row>
    <row r="8" ht="20.05" customHeight="1">
      <c r="B8" s="30"/>
      <c r="C8" s="14">
        <v>441</v>
      </c>
      <c r="D8" s="15"/>
      <c r="E8" s="15">
        <v>32</v>
      </c>
      <c r="F8" s="18">
        <v>0</v>
      </c>
      <c r="G8" s="18">
        <v>6</v>
      </c>
      <c r="H8" s="31">
        <f>C8/C7-1</f>
        <v>0.00455580865603645</v>
      </c>
      <c r="I8" s="31">
        <f>(E8+G8-F8-C8)/C8</f>
        <v>-0.913832199546485</v>
      </c>
      <c r="J8" s="21"/>
      <c r="K8" s="21"/>
    </row>
    <row r="9" ht="20.05" customHeight="1">
      <c r="B9" s="30"/>
      <c r="C9" s="14">
        <v>594</v>
      </c>
      <c r="D9" s="15"/>
      <c r="E9" s="15">
        <v>42</v>
      </c>
      <c r="F9" s="18">
        <v>0</v>
      </c>
      <c r="G9" s="18">
        <v>50</v>
      </c>
      <c r="H9" s="31">
        <f>C9/C8-1</f>
        <v>0.346938775510204</v>
      </c>
      <c r="I9" s="31">
        <f>(E9+G9-F9-C9)/C9</f>
        <v>-0.845117845117845</v>
      </c>
      <c r="J9" s="21"/>
      <c r="K9" s="21"/>
    </row>
    <row r="10" ht="20.05" customHeight="1">
      <c r="B10" s="30"/>
      <c r="C10" s="14">
        <v>574</v>
      </c>
      <c r="D10" s="15"/>
      <c r="E10" s="15">
        <v>39</v>
      </c>
      <c r="F10" s="18">
        <v>0</v>
      </c>
      <c r="G10" s="18">
        <v>24</v>
      </c>
      <c r="H10" s="31">
        <f>C10/C9-1</f>
        <v>-0.0336700336700337</v>
      </c>
      <c r="I10" s="31">
        <f>(E10+G10-F10-C10)/C10</f>
        <v>-0.890243902439024</v>
      </c>
      <c r="J10" s="21"/>
      <c r="K10" s="21"/>
    </row>
    <row r="11" ht="20.05" customHeight="1">
      <c r="B11" s="32">
        <v>2018</v>
      </c>
      <c r="C11" s="14">
        <v>597</v>
      </c>
      <c r="D11" s="15"/>
      <c r="E11" s="15">
        <v>44</v>
      </c>
      <c r="F11" s="18">
        <v>0</v>
      </c>
      <c r="G11" s="18">
        <v>32</v>
      </c>
      <c r="H11" s="31">
        <f>C11/C10-1</f>
        <v>0.0400696864111498</v>
      </c>
      <c r="I11" s="31">
        <f>(E11+G11-F11-C11)/C11</f>
        <v>-0.872696817420436</v>
      </c>
      <c r="J11" s="31">
        <f>AVERAGE(I8:I11)</f>
        <v>-0.8804726911309479</v>
      </c>
      <c r="K11" s="21"/>
    </row>
    <row r="12" ht="20.05" customHeight="1">
      <c r="B12" s="30"/>
      <c r="C12" s="14">
        <v>605</v>
      </c>
      <c r="D12" s="15"/>
      <c r="E12" s="15">
        <v>46</v>
      </c>
      <c r="F12" s="18">
        <v>0</v>
      </c>
      <c r="G12" s="18">
        <v>28</v>
      </c>
      <c r="H12" s="31">
        <f>C12/C11-1</f>
        <v>0.0134003350083752</v>
      </c>
      <c r="I12" s="31">
        <f>(E12+G12-F12-C12)/C12</f>
        <v>-0.8776859504132229</v>
      </c>
      <c r="J12" s="31">
        <f>AVERAGE(I9:I12)</f>
        <v>-0.871436128847632</v>
      </c>
      <c r="K12" s="21"/>
    </row>
    <row r="13" ht="20.05" customHeight="1">
      <c r="B13" s="30"/>
      <c r="C13" s="14">
        <v>670</v>
      </c>
      <c r="D13" s="15"/>
      <c r="E13" s="15">
        <v>42</v>
      </c>
      <c r="F13" s="18">
        <v>0</v>
      </c>
      <c r="G13" s="18">
        <v>36</v>
      </c>
      <c r="H13" s="31">
        <f>C13/C12-1</f>
        <v>0.107438016528926</v>
      </c>
      <c r="I13" s="31">
        <f>(E13+G13-F13-C13)/C13</f>
        <v>-0.883582089552239</v>
      </c>
      <c r="J13" s="31">
        <f>AVERAGE(I10:I13)</f>
        <v>-0.881052189956231</v>
      </c>
      <c r="K13" s="21"/>
    </row>
    <row r="14" ht="20.05" customHeight="1">
      <c r="B14" s="30"/>
      <c r="C14" s="14">
        <v>645</v>
      </c>
      <c r="D14" s="15"/>
      <c r="E14" s="15">
        <v>59</v>
      </c>
      <c r="F14" s="18">
        <v>0</v>
      </c>
      <c r="G14" s="18">
        <v>24.5</v>
      </c>
      <c r="H14" s="31">
        <f>C14/C13-1</f>
        <v>-0.0373134328358209</v>
      </c>
      <c r="I14" s="31">
        <f>(E14+G14-F14-C14)/C14</f>
        <v>-0.870542635658915</v>
      </c>
      <c r="J14" s="31">
        <f>AVERAGE(I11:I14)</f>
        <v>-0.876126873261203</v>
      </c>
      <c r="K14" s="21"/>
    </row>
    <row r="15" ht="20.05" customHeight="1">
      <c r="B15" s="32">
        <v>2019</v>
      </c>
      <c r="C15" s="14">
        <v>699.2</v>
      </c>
      <c r="D15" s="15"/>
      <c r="E15" s="15">
        <v>53.697</v>
      </c>
      <c r="F15" s="18">
        <v>0</v>
      </c>
      <c r="G15" s="18">
        <v>24.9</v>
      </c>
      <c r="H15" s="31">
        <f>C15/C14-1</f>
        <v>0.084031007751938</v>
      </c>
      <c r="I15" s="31">
        <f>(E15+G15-F15-C15)/C15</f>
        <v>-0.887590102974828</v>
      </c>
      <c r="J15" s="31">
        <f>AVERAGE(I12:I15)</f>
        <v>-0.879850194649801</v>
      </c>
      <c r="K15" s="21"/>
    </row>
    <row r="16" ht="20.05" customHeight="1">
      <c r="B16" s="30"/>
      <c r="C16" s="14">
        <v>735.8</v>
      </c>
      <c r="D16" s="15"/>
      <c r="E16" s="15">
        <v>57.303</v>
      </c>
      <c r="F16" s="18">
        <v>0</v>
      </c>
      <c r="G16" s="18">
        <v>33.1</v>
      </c>
      <c r="H16" s="31">
        <f>C16/C15-1</f>
        <v>0.0523455377574371</v>
      </c>
      <c r="I16" s="31">
        <f>(E16+G16-F16-C16)/C16</f>
        <v>-0.877136450122316</v>
      </c>
      <c r="J16" s="31">
        <f>AVERAGE(I13:I16)</f>
        <v>-0.879712819577075</v>
      </c>
      <c r="K16" s="21"/>
    </row>
    <row r="17" ht="20.05" customHeight="1">
      <c r="B17" s="30"/>
      <c r="C17" s="14">
        <v>789</v>
      </c>
      <c r="D17" s="15"/>
      <c r="E17" s="15">
        <v>60</v>
      </c>
      <c r="F17" s="18">
        <v>0</v>
      </c>
      <c r="G17" s="18">
        <v>47</v>
      </c>
      <c r="H17" s="31">
        <f>C17/C16-1</f>
        <v>0.0723022560478391</v>
      </c>
      <c r="I17" s="31">
        <f>(E17+G17-F17-C17)/C17</f>
        <v>-0.864385297845374</v>
      </c>
      <c r="J17" s="31">
        <f>AVERAGE(I14:I17)</f>
        <v>-0.874913621650358</v>
      </c>
      <c r="K17" s="21"/>
    </row>
    <row r="18" ht="20.05" customHeight="1">
      <c r="B18" s="30"/>
      <c r="C18" s="14">
        <v>870.9</v>
      </c>
      <c r="D18" s="15">
        <v>924.6</v>
      </c>
      <c r="E18" s="15">
        <v>62</v>
      </c>
      <c r="F18" s="18">
        <v>0</v>
      </c>
      <c r="G18" s="18">
        <v>60.7</v>
      </c>
      <c r="H18" s="31">
        <f>C18/C17-1</f>
        <v>0.103802281368821</v>
      </c>
      <c r="I18" s="31">
        <f>(E18+G18-F18-C18)/C18</f>
        <v>-0.859111264209439</v>
      </c>
      <c r="J18" s="31">
        <f>AVERAGE(I15:I18)</f>
        <v>-0.872055778787989</v>
      </c>
      <c r="K18" s="21"/>
    </row>
    <row r="19" ht="20.05" customHeight="1">
      <c r="B19" s="32">
        <v>2020</v>
      </c>
      <c r="C19" s="14">
        <v>679</v>
      </c>
      <c r="D19" s="15">
        <v>786.9</v>
      </c>
      <c r="E19" s="15">
        <v>143.081</v>
      </c>
      <c r="F19" s="18">
        <v>-33.9</v>
      </c>
      <c r="G19" s="18">
        <v>-15</v>
      </c>
      <c r="H19" s="31">
        <f>C19/C18-1</f>
        <v>-0.220346767711563</v>
      </c>
      <c r="I19" s="31">
        <f>(E19+G19-F19-C19)/C19</f>
        <v>-0.761441826215022</v>
      </c>
      <c r="J19" s="31">
        <f>AVERAGE(I16:I19)</f>
        <v>-0.840518709598038</v>
      </c>
      <c r="K19" s="21"/>
    </row>
    <row r="20" ht="20.05" customHeight="1">
      <c r="B20" s="30"/>
      <c r="C20" s="14">
        <v>281</v>
      </c>
      <c r="D20" s="15">
        <v>559.36</v>
      </c>
      <c r="E20" s="15">
        <v>138.919</v>
      </c>
      <c r="F20" s="18">
        <v>31.9</v>
      </c>
      <c r="G20" s="18">
        <v>-100</v>
      </c>
      <c r="H20" s="31">
        <f>C20/C19-1</f>
        <v>-0.5861561119293081</v>
      </c>
      <c r="I20" s="31">
        <f>(E20+G20-F20-C20)/C20</f>
        <v>-0.975021352313167</v>
      </c>
      <c r="J20" s="31">
        <f>AVERAGE(I17:I20)</f>
        <v>-0.864989935145751</v>
      </c>
      <c r="K20" s="21"/>
    </row>
    <row r="21" ht="20.05" customHeight="1">
      <c r="B21" s="30"/>
      <c r="C21" s="14">
        <v>497</v>
      </c>
      <c r="D21" s="15">
        <v>508.61</v>
      </c>
      <c r="E21" s="15">
        <v>140</v>
      </c>
      <c r="F21" s="18">
        <v>-6</v>
      </c>
      <c r="G21" s="18">
        <v>-33</v>
      </c>
      <c r="H21" s="31">
        <f>C21/C20-1</f>
        <v>0.7686832740213519</v>
      </c>
      <c r="I21" s="31">
        <f>(E21+G21-F21-C21)/C21</f>
        <v>-0.772635814889336</v>
      </c>
      <c r="J21" s="31">
        <f>AVERAGE(I18:I21)</f>
        <v>-0.842052564406741</v>
      </c>
      <c r="K21" s="21"/>
    </row>
    <row r="22" ht="20.05" customHeight="1">
      <c r="B22" s="30"/>
      <c r="C22" s="14">
        <f>2044.3-SUM(C19:C21)</f>
        <v>587.3</v>
      </c>
      <c r="D22" s="15">
        <v>571.55</v>
      </c>
      <c r="E22" s="15">
        <f>554.3-SUM(E19:E21)</f>
        <v>132.3</v>
      </c>
      <c r="F22" s="18">
        <f>-4.6-SUM(F19:F21)</f>
        <v>3.4</v>
      </c>
      <c r="G22" s="18">
        <f>-164.8-SUM(G19:G21)</f>
        <v>-16.8</v>
      </c>
      <c r="H22" s="31">
        <f>C22/C21-1</f>
        <v>0.18169014084507</v>
      </c>
      <c r="I22" s="31">
        <f>(E22+G22-F22-C22)/C22</f>
        <v>-0.809126511152733</v>
      </c>
      <c r="J22" s="31">
        <f>AVERAGE(I19:I22)</f>
        <v>-0.8295563761425651</v>
      </c>
      <c r="K22" s="21"/>
    </row>
    <row r="23" ht="20.05" customHeight="1">
      <c r="B23" s="32">
        <v>2021</v>
      </c>
      <c r="C23" s="14">
        <v>552</v>
      </c>
      <c r="D23" s="15">
        <v>634.284</v>
      </c>
      <c r="E23" s="15">
        <v>130.5</v>
      </c>
      <c r="F23" s="18">
        <v>-3.7</v>
      </c>
      <c r="G23" s="18">
        <v>-23</v>
      </c>
      <c r="H23" s="31">
        <f>C23/C22-1</f>
        <v>-0.0601055678528861</v>
      </c>
      <c r="I23" s="31">
        <f>(E23+G23-F23-C23)/C23</f>
        <v>-0.798550724637681</v>
      </c>
      <c r="J23" s="31">
        <f>AVERAGE(I20:I23)</f>
        <v>-0.838833600748229</v>
      </c>
      <c r="K23" s="21"/>
    </row>
    <row r="24" ht="20.05" customHeight="1">
      <c r="B24" s="30"/>
      <c r="C24" s="14">
        <v>624</v>
      </c>
      <c r="D24" s="15">
        <v>579.6</v>
      </c>
      <c r="E24" s="15">
        <v>130.5</v>
      </c>
      <c r="F24" s="18">
        <f>-3.1-F23</f>
        <v>0.6</v>
      </c>
      <c r="G24" s="18">
        <v>3</v>
      </c>
      <c r="H24" s="31">
        <f>C24/C23-1</f>
        <v>0.130434782608696</v>
      </c>
      <c r="I24" s="31">
        <f>(E24+G24-F24-C24)/C24</f>
        <v>-0.787019230769231</v>
      </c>
      <c r="J24" s="31">
        <f>AVERAGE(I21:I24)</f>
        <v>-0.791833070362245</v>
      </c>
      <c r="K24" s="21"/>
    </row>
    <row r="25" ht="20.05" customHeight="1">
      <c r="B25" s="30"/>
      <c r="C25" s="14">
        <f>1652.1-SUM(C23:C24)</f>
        <v>476.1</v>
      </c>
      <c r="D25" s="15">
        <v>624</v>
      </c>
      <c r="E25" s="15">
        <v>130.5</v>
      </c>
      <c r="F25" s="18">
        <f>-1.9-SUM(F23:F24)</f>
        <v>1.2</v>
      </c>
      <c r="G25" s="18">
        <f>-74-SUM(G23:G24)</f>
        <v>-54</v>
      </c>
      <c r="H25" s="31">
        <f>C25/C24-1</f>
        <v>-0.237019230769231</v>
      </c>
      <c r="I25" s="31">
        <f>(E25+G25-F25-C25)/C25</f>
        <v>-0.841839949590422</v>
      </c>
      <c r="J25" s="31">
        <f>AVERAGE(I22:I25)</f>
        <v>-0.809134104037517</v>
      </c>
      <c r="K25" s="21"/>
    </row>
    <row r="26" ht="20.05" customHeight="1">
      <c r="B26" s="30"/>
      <c r="C26" s="14">
        <f>2431-C25-C24-C23</f>
        <v>778.9</v>
      </c>
      <c r="D26" s="15">
        <v>595.125</v>
      </c>
      <c r="E26" s="15">
        <v>130.5</v>
      </c>
      <c r="F26" s="18"/>
      <c r="G26" s="18">
        <f>-10-G25+G24-G23</f>
        <v>70</v>
      </c>
      <c r="H26" s="31">
        <f>C26/C25-1</f>
        <v>0.63600084015963</v>
      </c>
      <c r="I26" s="31">
        <f>(E26+G26-F26-C26)/C26</f>
        <v>-0.742585697778919</v>
      </c>
      <c r="J26" s="31">
        <f>AVERAGE(I23:I26)</f>
        <v>-0.792498900694063</v>
      </c>
      <c r="K26" s="31">
        <f>J26</f>
        <v>-0.792498900694063</v>
      </c>
    </row>
    <row r="27" ht="20.05" customHeight="1">
      <c r="B27" s="32">
        <v>2022</v>
      </c>
      <c r="C27" s="14"/>
      <c r="D27" s="15">
        <f>'Model'!C6</f>
        <v>786.689</v>
      </c>
      <c r="E27" s="15"/>
      <c r="F27" s="18"/>
      <c r="G27" s="18"/>
      <c r="H27" s="31"/>
      <c r="I27" s="31"/>
      <c r="J27" s="31"/>
      <c r="K27" s="31">
        <f>'Model'!C7</f>
        <v>-0.792498900694063</v>
      </c>
    </row>
    <row r="28" ht="20.05" customHeight="1">
      <c r="B28" s="30"/>
      <c r="C28" s="14"/>
      <c r="D28" s="15">
        <f>'Model'!D6</f>
        <v>841.75723</v>
      </c>
      <c r="E28" s="15"/>
      <c r="F28" s="18"/>
      <c r="G28" s="18"/>
      <c r="H28" s="31"/>
      <c r="I28" s="31"/>
      <c r="J28" s="21"/>
      <c r="K28" s="31"/>
    </row>
    <row r="29" ht="20.05" customHeight="1">
      <c r="B29" s="30"/>
      <c r="C29" s="14"/>
      <c r="D29" s="15">
        <f>'Model'!E6</f>
        <v>900.6802361</v>
      </c>
      <c r="E29" s="15"/>
      <c r="F29" s="18"/>
      <c r="G29" s="18"/>
      <c r="H29" s="31"/>
      <c r="I29" s="31"/>
      <c r="J29" s="31"/>
      <c r="K29" s="31"/>
    </row>
    <row r="30" ht="20.05" customHeight="1">
      <c r="B30" s="30"/>
      <c r="C30" s="14"/>
      <c r="D30" s="15">
        <f>'Model'!F6</f>
        <v>945.714247905</v>
      </c>
      <c r="E30" s="15"/>
      <c r="F30" s="18"/>
      <c r="G30" s="18"/>
      <c r="H30" s="31"/>
      <c r="I30" s="31"/>
      <c r="J30" s="31"/>
      <c r="K30" s="31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46094" style="33" customWidth="1"/>
    <col min="2" max="2" width="8.35938" style="33" customWidth="1"/>
    <col min="3" max="15" width="10.2266" style="33" customWidth="1"/>
    <col min="16" max="16384" width="16.3516" style="33" customWidth="1"/>
  </cols>
  <sheetData>
    <row r="1" ht="30.6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6">
        <v>1</v>
      </c>
      <c r="C3" t="s" s="6">
        <v>48</v>
      </c>
      <c r="D3" t="s" s="6">
        <v>8</v>
      </c>
      <c r="E3" t="s" s="6">
        <v>9</v>
      </c>
      <c r="F3" t="s" s="6">
        <v>49</v>
      </c>
      <c r="G3" t="s" s="6">
        <v>12</v>
      </c>
      <c r="H3" t="s" s="6">
        <v>15</v>
      </c>
      <c r="I3" t="s" s="6">
        <v>11</v>
      </c>
      <c r="J3" t="s" s="6">
        <v>50</v>
      </c>
      <c r="K3" t="s" s="6">
        <v>47</v>
      </c>
      <c r="L3" t="s" s="6">
        <v>35</v>
      </c>
      <c r="M3" t="s" s="6">
        <v>51</v>
      </c>
      <c r="N3" t="s" s="6">
        <v>35</v>
      </c>
      <c r="O3" s="5"/>
    </row>
    <row r="4" ht="20.25" customHeight="1">
      <c r="B4" s="25">
        <v>2016</v>
      </c>
      <c r="C4" s="3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ht="20.05" customHeight="1">
      <c r="B5" s="30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ht="20.05" customHeight="1">
      <c r="B6" s="30"/>
      <c r="C6" s="17">
        <v>439</v>
      </c>
      <c r="D6" s="18">
        <v>58</v>
      </c>
      <c r="E6" s="18">
        <v>-59</v>
      </c>
      <c r="F6" s="18"/>
      <c r="G6" s="18"/>
      <c r="H6" s="18"/>
      <c r="I6" s="18">
        <v>-13</v>
      </c>
      <c r="J6" s="18">
        <f>D6+E6+F6</f>
        <v>-1</v>
      </c>
      <c r="K6" s="18"/>
      <c r="L6" s="18"/>
      <c r="M6" s="18">
        <f>-(I6-F6)</f>
        <v>13</v>
      </c>
      <c r="N6" s="18"/>
      <c r="O6" s="18">
        <v>1</v>
      </c>
    </row>
    <row r="7" ht="20.05" customHeight="1">
      <c r="B7" s="30"/>
      <c r="C7" s="17">
        <v>450</v>
      </c>
      <c r="D7" s="18">
        <v>110</v>
      </c>
      <c r="E7" s="18">
        <v>-60</v>
      </c>
      <c r="F7" s="18"/>
      <c r="G7" s="18"/>
      <c r="H7" s="18"/>
      <c r="I7" s="18">
        <v>310</v>
      </c>
      <c r="J7" s="18">
        <f>D7+E7+F7</f>
        <v>50</v>
      </c>
      <c r="K7" s="18"/>
      <c r="L7" s="18"/>
      <c r="M7" s="18">
        <f>-(I7-F7)+M6</f>
        <v>-297</v>
      </c>
      <c r="N7" s="18"/>
      <c r="O7" s="18">
        <f>1+O6</f>
        <v>2</v>
      </c>
    </row>
    <row r="8" ht="20.05" customHeight="1">
      <c r="B8" s="32">
        <v>2017</v>
      </c>
      <c r="C8" s="17">
        <v>430</v>
      </c>
      <c r="D8" s="18">
        <v>65</v>
      </c>
      <c r="E8" s="18">
        <v>-60</v>
      </c>
      <c r="F8" s="18"/>
      <c r="G8" s="18"/>
      <c r="H8" s="18"/>
      <c r="I8" s="18">
        <v>-31</v>
      </c>
      <c r="J8" s="18">
        <f>D8+E8+F8</f>
        <v>5</v>
      </c>
      <c r="K8" s="18">
        <f>AVERAGE(J5:J8)</f>
        <v>18</v>
      </c>
      <c r="L8" s="18"/>
      <c r="M8" s="18">
        <f>-(I8-F8)+M7</f>
        <v>-266</v>
      </c>
      <c r="N8" s="18"/>
      <c r="O8" s="18">
        <f>1+O7</f>
        <v>3</v>
      </c>
    </row>
    <row r="9" ht="20.05" customHeight="1">
      <c r="B9" s="30"/>
      <c r="C9" s="17">
        <v>402</v>
      </c>
      <c r="D9" s="18">
        <v>30</v>
      </c>
      <c r="E9" s="18">
        <v>-35</v>
      </c>
      <c r="F9" s="18"/>
      <c r="G9" s="18"/>
      <c r="H9" s="18"/>
      <c r="I9" s="18">
        <v>7</v>
      </c>
      <c r="J9" s="18">
        <f>D9+E9+F9</f>
        <v>-5</v>
      </c>
      <c r="K9" s="18">
        <f>AVERAGE(J6:J9)</f>
        <v>12.25</v>
      </c>
      <c r="L9" s="18"/>
      <c r="M9" s="18">
        <f>-(I9-F9)+M8</f>
        <v>-273</v>
      </c>
      <c r="N9" s="18"/>
      <c r="O9" s="18">
        <f>1+O8</f>
        <v>4</v>
      </c>
    </row>
    <row r="10" ht="20.05" customHeight="1">
      <c r="B10" s="30"/>
      <c r="C10" s="17">
        <v>745</v>
      </c>
      <c r="D10" s="18">
        <v>60</v>
      </c>
      <c r="E10" s="18">
        <v>-98</v>
      </c>
      <c r="F10" s="18"/>
      <c r="G10" s="18"/>
      <c r="H10" s="18"/>
      <c r="I10" s="18">
        <v>-8</v>
      </c>
      <c r="J10" s="18">
        <f>D10+E10+F10</f>
        <v>-38</v>
      </c>
      <c r="K10" s="18">
        <f>AVERAGE(J7:J10)</f>
        <v>3</v>
      </c>
      <c r="L10" s="18"/>
      <c r="M10" s="18">
        <f>-(I10-F10)+M9</f>
        <v>-265</v>
      </c>
      <c r="N10" s="18"/>
      <c r="O10" s="18">
        <f>1+O9</f>
        <v>5</v>
      </c>
    </row>
    <row r="11" ht="20.05" customHeight="1">
      <c r="B11" s="30"/>
      <c r="C11" s="17">
        <v>654</v>
      </c>
      <c r="D11" s="18">
        <v>139.5</v>
      </c>
      <c r="E11" s="18">
        <v>-148</v>
      </c>
      <c r="F11" s="18"/>
      <c r="G11" s="18"/>
      <c r="H11" s="18"/>
      <c r="I11" s="18">
        <v>-4</v>
      </c>
      <c r="J11" s="18">
        <f>D11+E11+F11</f>
        <v>-8.5</v>
      </c>
      <c r="K11" s="18">
        <f>AVERAGE(J8:J11)</f>
        <v>-11.625</v>
      </c>
      <c r="L11" s="18"/>
      <c r="M11" s="18">
        <f>-(I11-F11)+M10</f>
        <v>-261</v>
      </c>
      <c r="N11" s="18"/>
      <c r="O11" s="18">
        <f>1+O10</f>
        <v>6</v>
      </c>
    </row>
    <row r="12" ht="20.05" customHeight="1">
      <c r="B12" s="32">
        <v>2018</v>
      </c>
      <c r="C12" s="17">
        <v>624</v>
      </c>
      <c r="D12" s="18">
        <v>105</v>
      </c>
      <c r="E12" s="18">
        <v>-74</v>
      </c>
      <c r="F12" s="18"/>
      <c r="G12" s="18"/>
      <c r="H12" s="18"/>
      <c r="I12" s="18">
        <v>-45</v>
      </c>
      <c r="J12" s="18">
        <f>D12+E12+F12</f>
        <v>31</v>
      </c>
      <c r="K12" s="18">
        <f>AVERAGE(J9:J12)</f>
        <v>-5.125</v>
      </c>
      <c r="L12" s="18"/>
      <c r="M12" s="18">
        <f>-(I12-F12)+M11</f>
        <v>-216</v>
      </c>
      <c r="N12" s="18"/>
      <c r="O12" s="18">
        <f>1+O11</f>
        <v>7</v>
      </c>
    </row>
    <row r="13" ht="20.05" customHeight="1">
      <c r="B13" s="30"/>
      <c r="C13" s="17">
        <v>731</v>
      </c>
      <c r="D13" s="18">
        <v>75</v>
      </c>
      <c r="E13" s="18">
        <v>-67</v>
      </c>
      <c r="F13" s="18"/>
      <c r="G13" s="18"/>
      <c r="H13" s="18"/>
      <c r="I13" s="18">
        <v>59</v>
      </c>
      <c r="J13" s="18">
        <f>D13+E13+F13</f>
        <v>8</v>
      </c>
      <c r="K13" s="18">
        <f>AVERAGE(J10:J13)</f>
        <v>-1.875</v>
      </c>
      <c r="L13" s="18"/>
      <c r="M13" s="18">
        <f>-(I13-F13)+M12</f>
        <v>-275</v>
      </c>
      <c r="N13" s="18"/>
      <c r="O13" s="18">
        <f>1+O12</f>
        <v>8</v>
      </c>
    </row>
    <row r="14" ht="20.05" customHeight="1">
      <c r="B14" s="30"/>
      <c r="C14" s="17">
        <v>735</v>
      </c>
      <c r="D14" s="18">
        <v>64</v>
      </c>
      <c r="E14" s="18">
        <v>-145</v>
      </c>
      <c r="F14" s="18"/>
      <c r="G14" s="18"/>
      <c r="H14" s="18"/>
      <c r="I14" s="18">
        <v>-75</v>
      </c>
      <c r="J14" s="18">
        <f>D14+E14+F14</f>
        <v>-81</v>
      </c>
      <c r="K14" s="18">
        <f>AVERAGE(J11:J14)</f>
        <v>-12.625</v>
      </c>
      <c r="L14" s="18"/>
      <c r="M14" s="18">
        <f>-(I14-F14)+M13</f>
        <v>-200</v>
      </c>
      <c r="N14" s="18"/>
      <c r="O14" s="18">
        <f>1+O13</f>
        <v>9</v>
      </c>
    </row>
    <row r="15" ht="20.05" customHeight="1">
      <c r="B15" s="30"/>
      <c r="C15" s="17">
        <v>722.3</v>
      </c>
      <c r="D15" s="18">
        <v>136.8</v>
      </c>
      <c r="E15" s="18">
        <v>-155.5</v>
      </c>
      <c r="F15" s="18"/>
      <c r="G15" s="18"/>
      <c r="H15" s="18"/>
      <c r="I15" s="18">
        <v>29.7</v>
      </c>
      <c r="J15" s="18">
        <f>D15+E15+F15</f>
        <v>-18.7</v>
      </c>
      <c r="K15" s="18">
        <f>AVERAGE(J12:J15)</f>
        <v>-15.175</v>
      </c>
      <c r="L15" s="18"/>
      <c r="M15" s="18">
        <f>-(I15-F15)+M14</f>
        <v>-229.7</v>
      </c>
      <c r="N15" s="18"/>
      <c r="O15" s="18">
        <f>1+O14</f>
        <v>10</v>
      </c>
    </row>
    <row r="16" ht="20.05" customHeight="1">
      <c r="B16" s="32">
        <v>2019</v>
      </c>
      <c r="C16" s="17">
        <v>775.4</v>
      </c>
      <c r="D16" s="18">
        <v>100.9</v>
      </c>
      <c r="E16" s="18">
        <v>-97.5</v>
      </c>
      <c r="F16" s="18"/>
      <c r="G16" s="18"/>
      <c r="H16" s="18"/>
      <c r="I16" s="18">
        <v>-8.1</v>
      </c>
      <c r="J16" s="18">
        <f>D16+E16+F16</f>
        <v>3.4</v>
      </c>
      <c r="K16" s="18">
        <f>AVERAGE(J13:J16)</f>
        <v>-22.075</v>
      </c>
      <c r="L16" s="18"/>
      <c r="M16" s="18">
        <f>-(I16-F16)+M15</f>
        <v>-221.6</v>
      </c>
      <c r="N16" s="18"/>
      <c r="O16" s="18">
        <f>1+O15</f>
        <v>11</v>
      </c>
    </row>
    <row r="17" ht="20.05" customHeight="1">
      <c r="B17" s="30"/>
      <c r="C17" s="17">
        <v>805.6</v>
      </c>
      <c r="D17" s="18">
        <v>88.09999999999999</v>
      </c>
      <c r="E17" s="18">
        <v>-90.5</v>
      </c>
      <c r="F17" s="18"/>
      <c r="G17" s="18"/>
      <c r="H17" s="18"/>
      <c r="I17" s="18">
        <v>15.1</v>
      </c>
      <c r="J17" s="18">
        <f>D17+E17+F17</f>
        <v>-2.4</v>
      </c>
      <c r="K17" s="18">
        <f>AVERAGE(J14:J17)</f>
        <v>-24.675</v>
      </c>
      <c r="L17" s="18"/>
      <c r="M17" s="18">
        <f>-(I17-F17)+M16</f>
        <v>-236.7</v>
      </c>
      <c r="N17" s="18"/>
      <c r="O17" s="18">
        <f>1+O16</f>
        <v>12</v>
      </c>
    </row>
    <row r="18" ht="20.05" customHeight="1">
      <c r="B18" s="30"/>
      <c r="C18" s="17">
        <v>884</v>
      </c>
      <c r="D18" s="18">
        <v>105</v>
      </c>
      <c r="E18" s="18">
        <v>-114</v>
      </c>
      <c r="F18" s="18"/>
      <c r="G18" s="18"/>
      <c r="H18" s="18"/>
      <c r="I18" s="18">
        <v>-27</v>
      </c>
      <c r="J18" s="18">
        <f>D18+E18+F18</f>
        <v>-9</v>
      </c>
      <c r="K18" s="18">
        <f>AVERAGE(J15:J18)</f>
        <v>-6.675</v>
      </c>
      <c r="L18" s="18"/>
      <c r="M18" s="18">
        <f>-(I18-F18)+M17</f>
        <v>-209.7</v>
      </c>
      <c r="N18" s="18"/>
      <c r="O18" s="18">
        <f>1+O17</f>
        <v>13</v>
      </c>
    </row>
    <row r="19" ht="20.05" customHeight="1">
      <c r="B19" s="30"/>
      <c r="C19" s="17">
        <v>944.8</v>
      </c>
      <c r="D19" s="18">
        <v>200.2</v>
      </c>
      <c r="E19" s="18">
        <v>-120.5</v>
      </c>
      <c r="F19" s="18"/>
      <c r="G19" s="18"/>
      <c r="H19" s="18"/>
      <c r="I19" s="18">
        <v>2</v>
      </c>
      <c r="J19" s="18">
        <f>D19+E19+F19</f>
        <v>79.7</v>
      </c>
      <c r="K19" s="18">
        <f>AVERAGE(J16:J19)</f>
        <v>17.925</v>
      </c>
      <c r="L19" s="18"/>
      <c r="M19" s="18">
        <f>-(I19-F19)+M18</f>
        <v>-211.7</v>
      </c>
      <c r="N19" s="18"/>
      <c r="O19" s="18">
        <f>1+O18</f>
        <v>14</v>
      </c>
    </row>
    <row r="20" ht="20.05" customHeight="1">
      <c r="B20" s="32">
        <v>2020</v>
      </c>
      <c r="C20" s="17">
        <v>777</v>
      </c>
      <c r="D20" s="18">
        <v>62</v>
      </c>
      <c r="E20" s="18">
        <v>-77</v>
      </c>
      <c r="F20" s="18">
        <v>-121</v>
      </c>
      <c r="G20" s="18"/>
      <c r="H20" s="18"/>
      <c r="I20" s="18">
        <v>-9</v>
      </c>
      <c r="J20" s="18">
        <f>D20+E20+F20</f>
        <v>-136</v>
      </c>
      <c r="K20" s="18">
        <f>AVERAGE(J17:J20)</f>
        <v>-16.925</v>
      </c>
      <c r="L20" s="18"/>
      <c r="M20" s="18">
        <f>-(I20-F20)+M19</f>
        <v>-323.7</v>
      </c>
      <c r="N20" s="18"/>
      <c r="O20" s="18">
        <f>1+O19</f>
        <v>15</v>
      </c>
    </row>
    <row r="21" ht="20.05" customHeight="1">
      <c r="B21" s="30"/>
      <c r="C21" s="17">
        <v>308</v>
      </c>
      <c r="D21" s="18">
        <v>65</v>
      </c>
      <c r="E21" s="18">
        <v>-3</v>
      </c>
      <c r="F21" s="18">
        <v>-24.3333333333333</v>
      </c>
      <c r="G21" s="18"/>
      <c r="H21" s="18"/>
      <c r="I21" s="18">
        <v>2.5</v>
      </c>
      <c r="J21" s="18">
        <f>D21+E21+F21</f>
        <v>37.6666666666667</v>
      </c>
      <c r="K21" s="18">
        <f>AVERAGE(J18:J21)</f>
        <v>-6.90833333333333</v>
      </c>
      <c r="L21" s="18"/>
      <c r="M21" s="18">
        <f>-(I21-F21)+M20</f>
        <v>-350.533333333333</v>
      </c>
      <c r="N21" s="18"/>
      <c r="O21" s="18">
        <f>1+O20</f>
        <v>16</v>
      </c>
    </row>
    <row r="22" ht="20.05" customHeight="1">
      <c r="B22" s="30"/>
      <c r="C22" s="17">
        <v>547</v>
      </c>
      <c r="D22" s="18">
        <v>69</v>
      </c>
      <c r="E22" s="18">
        <v>-46</v>
      </c>
      <c r="F22" s="18">
        <v>-24.3333333333333</v>
      </c>
      <c r="G22" s="18"/>
      <c r="H22" s="18"/>
      <c r="I22" s="18">
        <v>0</v>
      </c>
      <c r="J22" s="18">
        <f>D22+E22+F22</f>
        <v>-1.3333333333333</v>
      </c>
      <c r="K22" s="18">
        <f>AVERAGE(J19:J22)</f>
        <v>-4.99166666666665</v>
      </c>
      <c r="L22" s="18"/>
      <c r="M22" s="18">
        <f>-(I22-F22)+M21</f>
        <v>-374.866666666666</v>
      </c>
      <c r="N22" s="18"/>
      <c r="O22" s="18">
        <f>1+O21</f>
        <v>17</v>
      </c>
    </row>
    <row r="23" ht="20.05" customHeight="1">
      <c r="B23" s="30"/>
      <c r="C23" s="17">
        <f>2261.9-SUM(C20:C22)</f>
        <v>629.9</v>
      </c>
      <c r="D23" s="18">
        <f>418.7-SUM(D20:D22)</f>
        <v>222.7</v>
      </c>
      <c r="E23" s="18">
        <f>-191.9-SUM(E20:E22)</f>
        <v>-65.90000000000001</v>
      </c>
      <c r="F23" s="18">
        <v>-24.3333333333333</v>
      </c>
      <c r="G23" s="18"/>
      <c r="H23" s="18"/>
      <c r="I23" s="18">
        <f>-204.7-SUM(I20:I22)</f>
        <v>-198.2</v>
      </c>
      <c r="J23" s="18">
        <f>D23+E23+F23</f>
        <v>132.466666666667</v>
      </c>
      <c r="K23" s="18">
        <f>AVERAGE(J20:J23)</f>
        <v>8.200000000000101</v>
      </c>
      <c r="L23" s="18"/>
      <c r="M23" s="18">
        <f>-(I23-F23)+M22</f>
        <v>-200.999999999999</v>
      </c>
      <c r="N23" s="18"/>
      <c r="O23" s="18">
        <f>1+O22</f>
        <v>18</v>
      </c>
    </row>
    <row r="24" ht="20.05" customHeight="1">
      <c r="B24" s="32">
        <v>2021</v>
      </c>
      <c r="C24" s="17">
        <v>622</v>
      </c>
      <c r="D24" s="18">
        <v>113</v>
      </c>
      <c r="E24" s="18">
        <v>-45</v>
      </c>
      <c r="F24" s="18">
        <v>-55</v>
      </c>
      <c r="G24" s="18"/>
      <c r="H24" s="18"/>
      <c r="I24" s="18">
        <v>-74</v>
      </c>
      <c r="J24" s="18">
        <f>D24+E24+F24</f>
        <v>13</v>
      </c>
      <c r="K24" s="18">
        <f>AVERAGE(J21:J24)</f>
        <v>45.4500000000001</v>
      </c>
      <c r="L24" s="18"/>
      <c r="M24" s="18">
        <f>-(G24+H24)+M23</f>
        <v>-200.999999999999</v>
      </c>
      <c r="N24" s="18"/>
      <c r="O24" s="18">
        <f>1+O23</f>
        <v>19</v>
      </c>
    </row>
    <row r="25" ht="20.05" customHeight="1">
      <c r="B25" s="30"/>
      <c r="C25" s="17">
        <v>694</v>
      </c>
      <c r="D25" s="18">
        <v>62</v>
      </c>
      <c r="E25" s="18">
        <v>-46</v>
      </c>
      <c r="F25" s="18">
        <f>-120.481-F24</f>
        <v>-65.48099999999999</v>
      </c>
      <c r="G25" s="18"/>
      <c r="H25" s="18"/>
      <c r="I25" s="18">
        <v>-94</v>
      </c>
      <c r="J25" s="18">
        <f>D25+E25+F25</f>
        <v>-49.481</v>
      </c>
      <c r="K25" s="18">
        <f>AVERAGE(J22:J25)</f>
        <v>23.6630833333334</v>
      </c>
      <c r="L25" s="18"/>
      <c r="M25" s="18">
        <f>-(G25+H25)+M24</f>
        <v>-200.999999999999</v>
      </c>
      <c r="N25" s="18"/>
      <c r="O25" s="18">
        <f>1+O24</f>
        <v>20</v>
      </c>
    </row>
    <row r="26" ht="20.05" customHeight="1">
      <c r="B26" s="30"/>
      <c r="C26" s="17">
        <f>1840.5-SUM(C24:C25)</f>
        <v>524.5</v>
      </c>
      <c r="D26" s="18">
        <f>254.2-SUM(D24:D25)</f>
        <v>79.2</v>
      </c>
      <c r="E26" s="18">
        <f>-134.8-SUM(E24:E25)</f>
        <v>-43.8</v>
      </c>
      <c r="F26" s="18">
        <f>-164.1-SUM(F24:F25)</f>
        <v>-43.619</v>
      </c>
      <c r="G26" s="18"/>
      <c r="H26" s="18"/>
      <c r="I26" s="18">
        <f>-224.6-SUM(I24:I25)</f>
        <v>-56.6</v>
      </c>
      <c r="J26" s="18">
        <f>D26+E26+F26</f>
        <v>-8.218999999999999</v>
      </c>
      <c r="K26" s="18">
        <f>AVERAGE(J23:J26)</f>
        <v>21.9416666666668</v>
      </c>
      <c r="L26" s="21"/>
      <c r="M26" s="18">
        <f>-(G26+H26)+M25</f>
        <v>-200.999999999999</v>
      </c>
      <c r="N26" s="18"/>
      <c r="O26" s="18">
        <f>1+O25</f>
        <v>21</v>
      </c>
    </row>
    <row r="27" ht="20.05" customHeight="1">
      <c r="B27" s="30"/>
      <c r="C27" s="17">
        <f>2690-C26-C25-C24</f>
        <v>849.5</v>
      </c>
      <c r="D27" s="18">
        <f>406-D26-D25-D24</f>
        <v>151.8</v>
      </c>
      <c r="E27" s="18">
        <f>-246-E26-E25-E24</f>
        <v>-111.2</v>
      </c>
      <c r="F27" s="18">
        <f>-212-F26-F25-F24</f>
        <v>-47.9</v>
      </c>
      <c r="G27" s="18"/>
      <c r="H27" s="18">
        <v>0</v>
      </c>
      <c r="I27" s="18">
        <f>-259.9-I26-I25-I24</f>
        <v>-35.3</v>
      </c>
      <c r="J27" s="18">
        <f>D27+E27+F27</f>
        <v>-7.3</v>
      </c>
      <c r="K27" s="18">
        <f>AVERAGE(J24:J27)</f>
        <v>-13</v>
      </c>
      <c r="L27" s="18">
        <f>K27</f>
        <v>-13</v>
      </c>
      <c r="M27" s="18">
        <f>-(G27+H27)+M26</f>
        <v>-200.999999999999</v>
      </c>
      <c r="N27" s="18">
        <f>M27</f>
        <v>-200.999999999999</v>
      </c>
      <c r="O27" s="18">
        <f>1+O26</f>
        <v>22</v>
      </c>
    </row>
    <row r="28" ht="20.05" customHeight="1">
      <c r="B28" s="32">
        <v>2022</v>
      </c>
      <c r="C28" s="17"/>
      <c r="D28" s="18"/>
      <c r="E28" s="18"/>
      <c r="F28" s="18"/>
      <c r="G28" s="18"/>
      <c r="H28" s="18"/>
      <c r="I28" s="18"/>
      <c r="J28" s="18"/>
      <c r="K28" s="21"/>
      <c r="L28" s="18">
        <f>SUM('Model'!F9:F11)</f>
        <v>81.73674606957501</v>
      </c>
      <c r="M28" s="21"/>
      <c r="N28" s="18">
        <f>'Model'!F34</f>
        <v>-125.689188329281</v>
      </c>
      <c r="O28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156" style="35" customWidth="1"/>
    <col min="2" max="2" width="9.36719" style="35" customWidth="1"/>
    <col min="3" max="11" width="9.54688" style="35" customWidth="1"/>
    <col min="12" max="16384" width="16.3516" style="35" customWidth="1"/>
  </cols>
  <sheetData>
    <row r="1" ht="93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52</v>
      </c>
      <c r="D3" t="s" s="6">
        <v>53</v>
      </c>
      <c r="E3" t="s" s="6">
        <v>54</v>
      </c>
      <c r="F3" t="s" s="6">
        <v>25</v>
      </c>
      <c r="G3" t="s" s="6">
        <v>12</v>
      </c>
      <c r="H3" t="s" s="6">
        <v>15</v>
      </c>
      <c r="I3" t="s" s="6">
        <v>27</v>
      </c>
      <c r="J3" t="s" s="6">
        <v>55</v>
      </c>
      <c r="K3" t="s" s="6">
        <v>35</v>
      </c>
    </row>
    <row r="4" ht="20.25" customHeight="1">
      <c r="B4" s="25">
        <v>2017</v>
      </c>
      <c r="C4" s="34"/>
      <c r="D4" s="28">
        <v>0</v>
      </c>
      <c r="E4" s="28"/>
      <c r="F4" s="36"/>
      <c r="G4" s="28">
        <v>0</v>
      </c>
      <c r="H4" s="28"/>
      <c r="I4" s="28">
        <f>G4+H4-C4-E4</f>
        <v>0</v>
      </c>
      <c r="J4" s="28">
        <f>C4-G4</f>
        <v>0</v>
      </c>
      <c r="K4" s="28"/>
    </row>
    <row r="5" ht="20.05" customHeight="1">
      <c r="B5" s="30"/>
      <c r="C5" s="17">
        <v>383</v>
      </c>
      <c r="D5" s="18">
        <v>1418</v>
      </c>
      <c r="E5" s="18">
        <f>D5-C5</f>
        <v>1035</v>
      </c>
      <c r="F5" s="37"/>
      <c r="G5" s="18">
        <v>508</v>
      </c>
      <c r="H5" s="18">
        <v>909</v>
      </c>
      <c r="I5" s="18">
        <f>G5+H5-C5-E5</f>
        <v>-1</v>
      </c>
      <c r="J5" s="18">
        <f>C5-G5</f>
        <v>-125</v>
      </c>
      <c r="K5" s="18"/>
    </row>
    <row r="6" ht="20.05" customHeight="1">
      <c r="B6" s="30"/>
      <c r="C6" s="17">
        <v>337</v>
      </c>
      <c r="D6" s="18">
        <v>1403</v>
      </c>
      <c r="E6" s="18">
        <f>D6-C6</f>
        <v>1066</v>
      </c>
      <c r="F6" s="37"/>
      <c r="G6" s="18">
        <v>458</v>
      </c>
      <c r="H6" s="18">
        <v>944</v>
      </c>
      <c r="I6" s="18">
        <f>G6+H6-C6-E6</f>
        <v>-1</v>
      </c>
      <c r="J6" s="18">
        <f>C6-G6</f>
        <v>-121</v>
      </c>
      <c r="K6" s="18"/>
    </row>
    <row r="7" ht="20.05" customHeight="1">
      <c r="B7" s="30"/>
      <c r="C7" s="17">
        <v>371.9</v>
      </c>
      <c r="D7" s="18">
        <v>1669.9</v>
      </c>
      <c r="E7" s="18">
        <f>D7-C7</f>
        <v>1298</v>
      </c>
      <c r="F7" s="37"/>
      <c r="G7" s="18">
        <v>680</v>
      </c>
      <c r="H7" s="18">
        <v>989.9</v>
      </c>
      <c r="I7" s="18">
        <f>G7+H7-C7-E7</f>
        <v>0</v>
      </c>
      <c r="J7" s="18">
        <f>C7-G7</f>
        <v>-308.1</v>
      </c>
      <c r="K7" s="18"/>
    </row>
    <row r="8" ht="20.05" customHeight="1">
      <c r="B8" s="32">
        <v>2018</v>
      </c>
      <c r="C8" s="17">
        <v>355</v>
      </c>
      <c r="D8" s="18">
        <v>1526</v>
      </c>
      <c r="E8" s="18">
        <f>D8-C8</f>
        <v>1171</v>
      </c>
      <c r="F8" s="37"/>
      <c r="G8" s="18">
        <v>516</v>
      </c>
      <c r="H8" s="18">
        <v>1010</v>
      </c>
      <c r="I8" s="18">
        <f>G8+H8-C8-E8</f>
        <v>0</v>
      </c>
      <c r="J8" s="18">
        <f>C8-G8</f>
        <v>-161</v>
      </c>
      <c r="K8" s="18"/>
    </row>
    <row r="9" ht="20.05" customHeight="1">
      <c r="B9" s="30"/>
      <c r="C9" s="17">
        <v>406</v>
      </c>
      <c r="D9" s="18">
        <v>1621</v>
      </c>
      <c r="E9" s="18">
        <f>D9-C9</f>
        <v>1215</v>
      </c>
      <c r="F9" s="37"/>
      <c r="G9" s="18">
        <v>586</v>
      </c>
      <c r="H9" s="18">
        <v>1036</v>
      </c>
      <c r="I9" s="18">
        <f>G9+H9-C9-E9</f>
        <v>1</v>
      </c>
      <c r="J9" s="18">
        <f>C9-G9</f>
        <v>-180</v>
      </c>
      <c r="K9" s="18"/>
    </row>
    <row r="10" ht="20.05" customHeight="1">
      <c r="B10" s="30"/>
      <c r="C10" s="17">
        <v>268</v>
      </c>
      <c r="D10" s="18">
        <v>1652</v>
      </c>
      <c r="E10" s="18">
        <f>D10-C10</f>
        <v>1384</v>
      </c>
      <c r="F10" s="37"/>
      <c r="G10" s="18">
        <v>605</v>
      </c>
      <c r="H10" s="18">
        <v>1047</v>
      </c>
      <c r="I10" s="18">
        <f>G10+H10-C10-E10</f>
        <v>0</v>
      </c>
      <c r="J10" s="18">
        <f>C10-G10</f>
        <v>-337</v>
      </c>
      <c r="K10" s="18"/>
    </row>
    <row r="11" ht="20.05" customHeight="1">
      <c r="B11" s="30"/>
      <c r="C11" s="17">
        <v>280</v>
      </c>
      <c r="D11" s="18">
        <v>1740.8</v>
      </c>
      <c r="E11" s="18">
        <f>D11-C11</f>
        <v>1460.8</v>
      </c>
      <c r="F11" s="37"/>
      <c r="G11" s="18">
        <v>659.6</v>
      </c>
      <c r="H11" s="18">
        <v>1081.4</v>
      </c>
      <c r="I11" s="18">
        <f>G11+H11-C11-E11</f>
        <v>0.2</v>
      </c>
      <c r="J11" s="18">
        <f>C11-G11</f>
        <v>-379.6</v>
      </c>
      <c r="K11" s="18"/>
    </row>
    <row r="12" ht="20.05" customHeight="1">
      <c r="B12" s="32">
        <v>2019</v>
      </c>
      <c r="C12" s="17">
        <v>275.3</v>
      </c>
      <c r="D12" s="18">
        <v>1851.7</v>
      </c>
      <c r="E12" s="18">
        <f>D12-C12</f>
        <v>1576.4</v>
      </c>
      <c r="F12" s="37"/>
      <c r="G12" s="18">
        <v>753</v>
      </c>
      <c r="H12" s="18">
        <v>1099</v>
      </c>
      <c r="I12" s="18">
        <f>G12+H12-C12-E12</f>
        <v>0.3</v>
      </c>
      <c r="J12" s="18">
        <f>C12-G12</f>
        <v>-477.7</v>
      </c>
      <c r="K12" s="18"/>
    </row>
    <row r="13" ht="20.05" customHeight="1">
      <c r="B13" s="30"/>
      <c r="C13" s="17">
        <v>287</v>
      </c>
      <c r="D13" s="18">
        <v>1943</v>
      </c>
      <c r="E13" s="18">
        <f>D13-C13</f>
        <v>1656</v>
      </c>
      <c r="F13" s="37"/>
      <c r="G13" s="18">
        <v>812</v>
      </c>
      <c r="H13" s="18">
        <v>1132</v>
      </c>
      <c r="I13" s="18">
        <f>G13+H13-C13-E13</f>
        <v>1</v>
      </c>
      <c r="J13" s="18">
        <f>C13-G13</f>
        <v>-525</v>
      </c>
      <c r="K13" s="18"/>
    </row>
    <row r="14" ht="20.05" customHeight="1">
      <c r="B14" s="30"/>
      <c r="C14" s="17">
        <v>252</v>
      </c>
      <c r="D14" s="18">
        <v>1984</v>
      </c>
      <c r="E14" s="18">
        <f>D14-C14</f>
        <v>1732</v>
      </c>
      <c r="F14" s="37"/>
      <c r="G14" s="18">
        <v>804</v>
      </c>
      <c r="H14" s="18">
        <v>1180</v>
      </c>
      <c r="I14" s="18">
        <f>G14+H14-C14-E14</f>
        <v>0</v>
      </c>
      <c r="J14" s="18">
        <f>C14-G14</f>
        <v>-552</v>
      </c>
      <c r="K14" s="18"/>
    </row>
    <row r="15" ht="20.05" customHeight="1">
      <c r="B15" s="30"/>
      <c r="C15" s="17">
        <v>334</v>
      </c>
      <c r="D15" s="18">
        <v>2067</v>
      </c>
      <c r="E15" s="18">
        <f>D15-C15</f>
        <v>1733</v>
      </c>
      <c r="F15" s="37"/>
      <c r="G15" s="18">
        <v>831.5</v>
      </c>
      <c r="H15" s="18">
        <v>1235.7</v>
      </c>
      <c r="I15" s="18">
        <f>G15+H15-C15-E15</f>
        <v>0.2</v>
      </c>
      <c r="J15" s="18">
        <f>C15-G15</f>
        <v>-497.5</v>
      </c>
      <c r="K15" s="18"/>
    </row>
    <row r="16" ht="20.05" customHeight="1">
      <c r="B16" s="32">
        <v>2020</v>
      </c>
      <c r="C16" s="17">
        <v>310</v>
      </c>
      <c r="D16" s="18">
        <v>2684</v>
      </c>
      <c r="E16" s="18">
        <f>D16-C16</f>
        <v>2374</v>
      </c>
      <c r="F16" s="37"/>
      <c r="G16" s="18">
        <v>1513</v>
      </c>
      <c r="H16" s="18">
        <v>1171</v>
      </c>
      <c r="I16" s="18">
        <f>G16+H16-C16-E16</f>
        <v>0</v>
      </c>
      <c r="J16" s="18">
        <f>C16-G16</f>
        <v>-1203</v>
      </c>
      <c r="K16" s="18"/>
    </row>
    <row r="17" ht="20.05" customHeight="1">
      <c r="B17" s="30"/>
      <c r="C17" s="17">
        <v>375</v>
      </c>
      <c r="D17" s="18">
        <v>2656</v>
      </c>
      <c r="E17" s="18">
        <f>D17-C17</f>
        <v>2281</v>
      </c>
      <c r="F17" s="18">
        <f>848+634</f>
        <v>1482</v>
      </c>
      <c r="G17" s="18">
        <v>1583</v>
      </c>
      <c r="H17" s="18">
        <v>1073</v>
      </c>
      <c r="I17" s="18">
        <f>G17+H17-C17-E17</f>
        <v>0</v>
      </c>
      <c r="J17" s="18">
        <f>C17-G17</f>
        <v>-1208</v>
      </c>
      <c r="K17" s="37"/>
    </row>
    <row r="18" ht="20.05" customHeight="1">
      <c r="B18" s="30"/>
      <c r="C18" s="17">
        <v>397</v>
      </c>
      <c r="D18" s="18">
        <v>2612</v>
      </c>
      <c r="E18" s="18">
        <f>D18-C18</f>
        <v>2215</v>
      </c>
      <c r="F18" s="18">
        <f>F17+'Sales'!G21</f>
        <v>1449</v>
      </c>
      <c r="G18" s="18">
        <v>1573</v>
      </c>
      <c r="H18" s="18">
        <v>1039</v>
      </c>
      <c r="I18" s="18">
        <f>G18+H18-C18-E18</f>
        <v>0</v>
      </c>
      <c r="J18" s="18">
        <f>C18-G18</f>
        <v>-1176</v>
      </c>
      <c r="K18" s="18"/>
    </row>
    <row r="19" ht="20.05" customHeight="1">
      <c r="B19" s="30"/>
      <c r="C19" s="17">
        <v>356</v>
      </c>
      <c r="D19" s="18">
        <v>2442</v>
      </c>
      <c r="E19" s="18">
        <f>D19-C19</f>
        <v>2086</v>
      </c>
      <c r="F19" s="18">
        <f>1078+662</f>
        <v>1740</v>
      </c>
      <c r="G19" s="18">
        <v>1422</v>
      </c>
      <c r="H19" s="18">
        <v>1020</v>
      </c>
      <c r="I19" s="18">
        <f>G19+H19-C19-E19</f>
        <v>0</v>
      </c>
      <c r="J19" s="18">
        <f>C19-G19</f>
        <v>-1066</v>
      </c>
      <c r="K19" s="37"/>
    </row>
    <row r="20" ht="20.05" customHeight="1">
      <c r="B20" s="32">
        <v>2021</v>
      </c>
      <c r="C20" s="17">
        <v>350</v>
      </c>
      <c r="D20" s="18">
        <v>2383</v>
      </c>
      <c r="E20" s="18">
        <f>D20-C20</f>
        <v>2033</v>
      </c>
      <c r="F20" s="18">
        <f>F19+'Sales'!E23</f>
        <v>1870.5</v>
      </c>
      <c r="G20" s="18">
        <v>1386</v>
      </c>
      <c r="H20" s="18">
        <v>997</v>
      </c>
      <c r="I20" s="18">
        <f>G20+H20-C20-E20</f>
        <v>0</v>
      </c>
      <c r="J20" s="18">
        <f>C20-G20</f>
        <v>-1036</v>
      </c>
      <c r="K20" s="18"/>
    </row>
    <row r="21" ht="20.05" customHeight="1">
      <c r="B21" s="30"/>
      <c r="C21" s="17">
        <v>271</v>
      </c>
      <c r="D21" s="18">
        <v>2330</v>
      </c>
      <c r="E21" s="18">
        <f>D21-C21</f>
        <v>2059</v>
      </c>
      <c r="F21" s="18">
        <f>F20+'Sales'!E24</f>
        <v>2001</v>
      </c>
      <c r="G21" s="18">
        <v>1329</v>
      </c>
      <c r="H21" s="18">
        <v>1000</v>
      </c>
      <c r="I21" s="18">
        <f>G21+H21-C21-E21</f>
        <v>-1</v>
      </c>
      <c r="J21" s="18">
        <f>C21-G21</f>
        <v>-1058</v>
      </c>
      <c r="K21" s="18"/>
    </row>
    <row r="22" ht="20.05" customHeight="1">
      <c r="B22" s="30"/>
      <c r="C22" s="17">
        <v>251</v>
      </c>
      <c r="D22" s="18">
        <v>2236</v>
      </c>
      <c r="E22" s="18">
        <f>D22-C22</f>
        <v>1985</v>
      </c>
      <c r="F22" s="18">
        <f>1235+762</f>
        <v>1997</v>
      </c>
      <c r="G22" s="18">
        <v>1290</v>
      </c>
      <c r="H22" s="18">
        <v>946</v>
      </c>
      <c r="I22" s="18">
        <f>G22+H22-C22-E22</f>
        <v>0</v>
      </c>
      <c r="J22" s="18">
        <f>C22-G22</f>
        <v>-1039</v>
      </c>
      <c r="K22" s="21"/>
    </row>
    <row r="23" ht="20.05" customHeight="1">
      <c r="B23" s="30"/>
      <c r="C23" s="17">
        <f>C22+'Cashflow'!D27+'Cashflow'!E27+'Cashflow'!I27</f>
        <v>256.3</v>
      </c>
      <c r="D23" s="18">
        <v>2241</v>
      </c>
      <c r="E23" s="18">
        <f>D23-C23</f>
        <v>1984.7</v>
      </c>
      <c r="F23" s="18">
        <f>F22+'Sales'!E26</f>
        <v>2127.5</v>
      </c>
      <c r="G23" s="18">
        <v>1227</v>
      </c>
      <c r="H23" s="18">
        <f>D23-G23</f>
        <v>1014</v>
      </c>
      <c r="I23" s="18">
        <f>G23+H23-C23-E23</f>
        <v>0</v>
      </c>
      <c r="J23" s="18">
        <f>C23-G23</f>
        <v>-970.7</v>
      </c>
      <c r="K23" s="18">
        <f>J23</f>
        <v>-970.7</v>
      </c>
    </row>
    <row r="24" ht="20.05" customHeight="1">
      <c r="B24" s="32">
        <v>2022</v>
      </c>
      <c r="C24" s="17"/>
      <c r="D24" s="18"/>
      <c r="E24" s="18"/>
      <c r="F24" s="18"/>
      <c r="G24" s="18"/>
      <c r="H24" s="18"/>
      <c r="I24" s="18"/>
      <c r="J24" s="18"/>
      <c r="K24" s="18">
        <f>'Model'!F32</f>
        <v>-555.376712351654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42969" style="38" customWidth="1"/>
    <col min="2" max="2" width="7.875" style="38" customWidth="1"/>
    <col min="3" max="5" width="8.59375" style="38" customWidth="1"/>
    <col min="6" max="16384" width="16.3516" style="38" customWidth="1"/>
  </cols>
  <sheetData>
    <row r="1" ht="13.7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9">
        <v>57</v>
      </c>
      <c r="D3" t="s" s="39">
        <v>58</v>
      </c>
      <c r="E3" t="s" s="39">
        <v>59</v>
      </c>
    </row>
    <row r="4" ht="20.25" customHeight="1">
      <c r="B4" s="25">
        <v>2018</v>
      </c>
      <c r="C4" s="34">
        <v>1800</v>
      </c>
      <c r="D4" s="28"/>
      <c r="E4" s="28"/>
    </row>
    <row r="5" ht="20.05" customHeight="1">
      <c r="B5" s="30"/>
      <c r="C5" s="17">
        <v>1680</v>
      </c>
      <c r="D5" s="18"/>
      <c r="E5" s="18"/>
    </row>
    <row r="6" ht="20.05" customHeight="1">
      <c r="B6" s="30"/>
      <c r="C6" s="17">
        <v>1700</v>
      </c>
      <c r="D6" s="18"/>
      <c r="E6" s="18"/>
    </row>
    <row r="7" ht="20.05" customHeight="1">
      <c r="B7" s="30"/>
      <c r="C7" s="17">
        <v>1790</v>
      </c>
      <c r="D7" s="18"/>
      <c r="E7" s="18"/>
    </row>
    <row r="8" ht="20.05" customHeight="1">
      <c r="B8" s="32">
        <v>2019</v>
      </c>
      <c r="C8" s="17">
        <v>1860</v>
      </c>
      <c r="D8" s="18"/>
      <c r="E8" s="18"/>
    </row>
    <row r="9" ht="20.05" customHeight="1">
      <c r="B9" s="30"/>
      <c r="C9" s="17">
        <v>1745</v>
      </c>
      <c r="D9" s="18"/>
      <c r="E9" s="18"/>
    </row>
    <row r="10" ht="20.05" customHeight="1">
      <c r="B10" s="30"/>
      <c r="C10" s="17">
        <v>1770</v>
      </c>
      <c r="D10" s="18"/>
      <c r="E10" s="18"/>
    </row>
    <row r="11" ht="20.05" customHeight="1">
      <c r="B11" s="30"/>
      <c r="C11" s="17">
        <v>1690</v>
      </c>
      <c r="D11" s="21"/>
      <c r="E11" s="21"/>
    </row>
    <row r="12" ht="20.05" customHeight="1">
      <c r="B12" s="32">
        <v>2020</v>
      </c>
      <c r="C12" s="17">
        <v>1450</v>
      </c>
      <c r="D12" s="21"/>
      <c r="E12" s="21"/>
    </row>
    <row r="13" ht="20.05" customHeight="1">
      <c r="B13" s="30"/>
      <c r="C13" s="17">
        <v>1600</v>
      </c>
      <c r="D13" s="21"/>
      <c r="E13" s="21"/>
    </row>
    <row r="14" ht="20.05" customHeight="1">
      <c r="B14" s="30"/>
      <c r="C14" s="17">
        <v>1165</v>
      </c>
      <c r="D14" s="21"/>
      <c r="E14" s="21"/>
    </row>
    <row r="15" ht="20.05" customHeight="1">
      <c r="B15" s="30"/>
      <c r="C15" s="17">
        <v>1355</v>
      </c>
      <c r="D15" s="21"/>
      <c r="E15" s="21"/>
    </row>
    <row r="16" ht="20.05" customHeight="1">
      <c r="B16" s="32">
        <v>2021</v>
      </c>
      <c r="C16" s="17">
        <v>1455</v>
      </c>
      <c r="D16" s="21"/>
      <c r="E16" s="21"/>
    </row>
    <row r="17" ht="20.05" customHeight="1">
      <c r="B17" s="30"/>
      <c r="C17" s="17">
        <v>1315</v>
      </c>
      <c r="D17" s="21"/>
      <c r="E17" s="21"/>
    </row>
    <row r="18" ht="20.05" customHeight="1">
      <c r="B18" s="30"/>
      <c r="C18" s="17">
        <v>1690</v>
      </c>
      <c r="D18" s="21"/>
      <c r="E18" s="21"/>
    </row>
    <row r="19" ht="20.05" customHeight="1">
      <c r="B19" s="30"/>
      <c r="C19" s="17">
        <v>1610</v>
      </c>
      <c r="D19" s="21"/>
      <c r="E19" s="21"/>
    </row>
    <row r="20" ht="20.05" customHeight="1">
      <c r="B20" s="32">
        <v>2022</v>
      </c>
      <c r="C20" s="17">
        <v>1560</v>
      </c>
      <c r="D20" s="21"/>
      <c r="E20" s="21"/>
    </row>
    <row r="21" ht="20.05" customHeight="1">
      <c r="B21" s="30"/>
      <c r="C21" s="17">
        <v>1515</v>
      </c>
      <c r="D21" s="18">
        <f>C21</f>
        <v>1515</v>
      </c>
      <c r="E21" s="18">
        <v>1746.0627095476</v>
      </c>
    </row>
    <row r="22" ht="20.05" customHeight="1">
      <c r="B22" s="30"/>
      <c r="C22" s="17"/>
      <c r="D22" s="18">
        <f>'Model'!F45</f>
        <v>2059.7560891228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P3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0.6484" style="40" customWidth="1"/>
    <col min="8" max="16" width="11.375" style="41" customWidth="1"/>
    <col min="17" max="16384" width="16.3516" style="41" customWidth="1"/>
  </cols>
  <sheetData>
    <row r="1" ht="27.65" customHeight="1">
      <c r="A1" t="s" s="2">
        <v>30</v>
      </c>
      <c r="B1" s="2"/>
      <c r="C1" s="2"/>
      <c r="D1" s="2"/>
      <c r="E1" s="2"/>
      <c r="F1" s="2"/>
      <c r="G1" s="2"/>
    </row>
    <row r="2" ht="20.25" customHeight="1">
      <c r="A2" t="s" s="6">
        <v>1</v>
      </c>
      <c r="B2" t="s" s="6">
        <v>12</v>
      </c>
      <c r="C2" t="s" s="6">
        <v>15</v>
      </c>
      <c r="D2" t="s" s="6">
        <v>60</v>
      </c>
      <c r="E2" t="s" s="6">
        <v>12</v>
      </c>
      <c r="F2" t="s" s="6">
        <v>15</v>
      </c>
      <c r="G2" t="s" s="6">
        <v>60</v>
      </c>
    </row>
    <row r="3" ht="20.25" customHeight="1">
      <c r="A3" s="25">
        <v>2013</v>
      </c>
      <c r="B3" s="34"/>
      <c r="C3" s="28">
        <v>12.5</v>
      </c>
      <c r="D3" s="28">
        <f>B3+C3</f>
        <v>12.5</v>
      </c>
      <c r="E3" s="28">
        <f>B3</f>
        <v>0</v>
      </c>
      <c r="F3" s="28">
        <f>C3</f>
        <v>12.5</v>
      </c>
      <c r="G3" s="28">
        <f>D3</f>
        <v>12.5</v>
      </c>
    </row>
    <row r="4" ht="20.05" customHeight="1">
      <c r="A4" s="32">
        <f>1+$A3</f>
        <v>2014</v>
      </c>
      <c r="B4" s="17"/>
      <c r="C4" s="18"/>
      <c r="D4" s="18">
        <f>B4+C4</f>
        <v>0</v>
      </c>
      <c r="E4" s="18">
        <f>B4+E3</f>
        <v>0</v>
      </c>
      <c r="F4" s="18">
        <f>C4+F3</f>
        <v>12.5</v>
      </c>
      <c r="G4" s="18">
        <f>D4+G3</f>
        <v>12.5</v>
      </c>
    </row>
    <row r="5" ht="20.05" customHeight="1">
      <c r="A5" s="32">
        <f>1+$A4</f>
        <v>2015</v>
      </c>
      <c r="B5" s="17"/>
      <c r="C5" s="18"/>
      <c r="D5" s="18">
        <f>B5+C5</f>
        <v>0</v>
      </c>
      <c r="E5" s="18">
        <f>B5+E4</f>
        <v>0</v>
      </c>
      <c r="F5" s="18">
        <f>C5+F4</f>
        <v>12.5</v>
      </c>
      <c r="G5" s="18">
        <f>D5+G4</f>
        <v>12.5</v>
      </c>
    </row>
    <row r="6" ht="20.05" customHeight="1">
      <c r="A6" s="32">
        <f>1+$A5</f>
        <v>2016</v>
      </c>
      <c r="B6" s="17">
        <v>725</v>
      </c>
      <c r="C6" s="18">
        <f>588-428-306</f>
        <v>-146</v>
      </c>
      <c r="D6" s="18">
        <f>B6+C6</f>
        <v>579</v>
      </c>
      <c r="E6" s="18">
        <f>B6+E5</f>
        <v>725</v>
      </c>
      <c r="F6" s="18">
        <f>C6+F5</f>
        <v>-133.5</v>
      </c>
      <c r="G6" s="18">
        <f>D6+G5</f>
        <v>591.5</v>
      </c>
    </row>
    <row r="7" ht="20.05" customHeight="1">
      <c r="A7" s="32">
        <f>1+$A6</f>
        <v>2017</v>
      </c>
      <c r="B7" s="17"/>
      <c r="C7" s="18">
        <f>37-7-15</f>
        <v>15</v>
      </c>
      <c r="D7" s="18">
        <f>B7+C7</f>
        <v>15</v>
      </c>
      <c r="E7" s="18">
        <f>B7+E6</f>
        <v>725</v>
      </c>
      <c r="F7" s="18">
        <f>C7+F6</f>
        <v>-118.5</v>
      </c>
      <c r="G7" s="18">
        <f>D7+G6</f>
        <v>606.5</v>
      </c>
    </row>
    <row r="8" ht="20.05" customHeight="1">
      <c r="A8" s="32">
        <f>1+$A7</f>
        <v>2018</v>
      </c>
      <c r="B8" s="17"/>
      <c r="C8" s="18">
        <v>74</v>
      </c>
      <c r="D8" s="18">
        <f>B8+C8</f>
        <v>74</v>
      </c>
      <c r="E8" s="18">
        <f>B8+E7</f>
        <v>725</v>
      </c>
      <c r="F8" s="18">
        <f>C8+F7</f>
        <v>-44.5</v>
      </c>
      <c r="G8" s="18">
        <f>D8+G7</f>
        <v>680.5</v>
      </c>
    </row>
    <row r="9" ht="20.05" customHeight="1">
      <c r="A9" s="32">
        <f>1+$A8</f>
        <v>2019</v>
      </c>
      <c r="B9" s="17"/>
      <c r="C9" s="18"/>
      <c r="D9" s="18">
        <f>B9+C9</f>
        <v>0</v>
      </c>
      <c r="E9" s="18">
        <f>B9+E8</f>
        <v>725</v>
      </c>
      <c r="F9" s="18">
        <f>C9+F8</f>
        <v>-44.5</v>
      </c>
      <c r="G9" s="18">
        <f>D9+G8</f>
        <v>680.5</v>
      </c>
    </row>
    <row r="10" ht="20.05" customHeight="1">
      <c r="A10" s="32">
        <f>1+$A9</f>
        <v>2020</v>
      </c>
      <c r="B10" s="17"/>
      <c r="C10" s="18"/>
      <c r="D10" s="18">
        <f>B10+C10</f>
        <v>0</v>
      </c>
      <c r="E10" s="18">
        <f>B10+E9</f>
        <v>725</v>
      </c>
      <c r="F10" s="18">
        <f>C10+F9</f>
        <v>-44.5</v>
      </c>
      <c r="G10" s="18">
        <f>D10+G9</f>
        <v>680.5</v>
      </c>
    </row>
    <row r="11" ht="20.05" customHeight="1">
      <c r="A11" s="32">
        <f>1+$A10</f>
        <v>2021</v>
      </c>
      <c r="B11" s="17"/>
      <c r="C11" s="18"/>
      <c r="D11" s="18">
        <f>B11+C11</f>
        <v>0</v>
      </c>
      <c r="E11" s="18">
        <f>B11+E10</f>
        <v>725</v>
      </c>
      <c r="F11" s="18">
        <f>C11+F10</f>
        <v>-44.5</v>
      </c>
      <c r="G11" s="18">
        <f>D11+G10</f>
        <v>680.5</v>
      </c>
    </row>
    <row r="13" ht="27.65" customHeight="1">
      <c r="H13" t="s" s="2">
        <v>61</v>
      </c>
      <c r="I13" s="2"/>
      <c r="J13" s="2"/>
      <c r="K13" s="2"/>
      <c r="L13" s="2"/>
      <c r="M13" s="2"/>
      <c r="N13" s="2"/>
      <c r="O13" s="2"/>
      <c r="P13" s="2"/>
    </row>
    <row r="14" ht="20.25" customHeight="1">
      <c r="H14" s="4"/>
      <c r="I14" s="4"/>
      <c r="J14" s="4"/>
      <c r="K14" s="4"/>
      <c r="L14" s="4"/>
      <c r="M14" s="4"/>
      <c r="N14" s="4"/>
      <c r="O14" s="4"/>
      <c r="P14" s="4"/>
    </row>
    <row r="15" ht="32.25" customHeight="1">
      <c r="H15" s="42"/>
      <c r="I15" t="s" s="43">
        <v>57</v>
      </c>
      <c r="J15" t="s" s="44">
        <v>62</v>
      </c>
      <c r="K15" s="9"/>
      <c r="L15" s="9"/>
      <c r="M15" s="9"/>
      <c r="N15" s="9"/>
      <c r="O15" s="9"/>
      <c r="P15" s="9"/>
    </row>
    <row r="16" ht="20.05" customHeight="1">
      <c r="H16" s="30"/>
      <c r="I16" s="45">
        <v>44593</v>
      </c>
      <c r="J16" s="37">
        <v>22</v>
      </c>
      <c r="K16" s="37">
        <v>2022</v>
      </c>
      <c r="L16" s="21"/>
      <c r="M16" s="21"/>
      <c r="N16" s="21"/>
      <c r="O16" s="21"/>
      <c r="P16" s="21"/>
    </row>
    <row r="17" ht="20.05" customHeight="1">
      <c r="H17" s="30"/>
      <c r="I17" t="s" s="46">
        <v>63</v>
      </c>
      <c r="J17" s="37">
        <f>$A3</f>
        <v>2013</v>
      </c>
      <c r="K17" s="21"/>
      <c r="L17" s="21"/>
      <c r="M17" s="21"/>
      <c r="N17" s="21"/>
      <c r="O17" s="21"/>
      <c r="P17" s="21"/>
    </row>
    <row r="18" ht="32.05" customHeight="1">
      <c r="H18" s="30"/>
      <c r="I18" t="s" s="46">
        <v>64</v>
      </c>
      <c r="J18" s="37">
        <f>(2022-J17)*4-1</f>
        <v>35</v>
      </c>
      <c r="K18" s="21"/>
      <c r="L18" s="21"/>
      <c r="M18" s="21"/>
      <c r="N18" s="21"/>
      <c r="O18" s="21"/>
      <c r="P18" s="21"/>
    </row>
    <row r="19" ht="20.05" customHeight="1">
      <c r="H19" s="30"/>
      <c r="I19" t="s" s="46">
        <v>12</v>
      </c>
      <c r="J19" s="18">
        <f>O23</f>
        <v>725</v>
      </c>
      <c r="K19" t="s" s="47">
        <f>O20</f>
        <v>65</v>
      </c>
      <c r="L19" t="s" s="47">
        <f>IF(J19&gt;0,"raised","paid")</f>
        <v>66</v>
      </c>
      <c r="M19" s="21"/>
      <c r="N19" s="21"/>
      <c r="O19" s="21"/>
      <c r="P19" s="21"/>
    </row>
    <row r="20" ht="32.05" customHeight="1">
      <c r="H20" s="30"/>
      <c r="I20" t="s" s="46">
        <f>I15</f>
        <v>57</v>
      </c>
      <c r="J20" t="s" s="47">
        <v>67</v>
      </c>
      <c r="K20" t="s" s="47">
        <f>IF(N20&gt;0,"raised","paid")</f>
        <v>66</v>
      </c>
      <c r="L20" t="s" s="47">
        <v>68</v>
      </c>
      <c r="M20" t="s" s="47">
        <v>69</v>
      </c>
      <c r="N20" s="18">
        <f>SUM(B3:B11)/9</f>
        <v>80.5555555555556</v>
      </c>
      <c r="O20" t="s" s="47">
        <v>65</v>
      </c>
      <c r="P20" t="s" s="47">
        <v>70</v>
      </c>
    </row>
    <row r="21" ht="32.05" customHeight="1">
      <c r="H21" s="30"/>
      <c r="I21" t="s" s="46">
        <v>71</v>
      </c>
      <c r="J21" t="s" s="47">
        <f>L20</f>
        <v>68</v>
      </c>
      <c r="K21" t="s" s="47">
        <v>72</v>
      </c>
      <c r="L21" t="s" s="47">
        <f>IF(N21&gt;0,"raised","paid")</f>
        <v>73</v>
      </c>
      <c r="M21" t="s" s="47">
        <v>69</v>
      </c>
      <c r="N21" s="18">
        <f>SUM(B7:B11)/5</f>
        <v>0</v>
      </c>
      <c r="O21" t="s" s="47">
        <v>65</v>
      </c>
      <c r="P21" t="s" s="47">
        <v>70</v>
      </c>
    </row>
    <row r="22" ht="44.05" customHeight="1">
      <c r="H22" s="30"/>
      <c r="I22" t="s" s="46">
        <v>74</v>
      </c>
      <c r="J22" t="s" s="47">
        <v>75</v>
      </c>
      <c r="K22" s="18">
        <f>MAX(E3:E11)</f>
        <v>725</v>
      </c>
      <c r="L22" t="s" s="47">
        <f>O21</f>
        <v>65</v>
      </c>
      <c r="M22" t="s" s="47">
        <v>76</v>
      </c>
      <c r="N22" s="37">
        <f>$A6</f>
        <v>2016</v>
      </c>
      <c r="O22" s="21"/>
      <c r="P22" s="21"/>
    </row>
    <row r="23" ht="32.05" customHeight="1">
      <c r="H23" s="30"/>
      <c r="I23" t="s" s="46">
        <v>77</v>
      </c>
      <c r="J23" t="s" s="47">
        <f>J21</f>
        <v>68</v>
      </c>
      <c r="K23" t="s" s="47">
        <v>78</v>
      </c>
      <c r="L23" t="s" s="47">
        <v>79</v>
      </c>
      <c r="M23" t="s" s="47">
        <f>IF(O23&lt;K22,"down","up")</f>
        <v>80</v>
      </c>
      <c r="N23" t="s" s="47">
        <v>81</v>
      </c>
      <c r="O23" s="18">
        <f>E11</f>
        <v>725</v>
      </c>
      <c r="P23" t="s" s="47">
        <f>O21</f>
        <v>65</v>
      </c>
    </row>
    <row r="24" ht="20.05" customHeight="1">
      <c r="H24" s="30"/>
      <c r="I24" t="s" s="46">
        <v>15</v>
      </c>
      <c r="J24" s="18">
        <f>O28</f>
        <v>-44.5</v>
      </c>
      <c r="K24" t="s" s="47">
        <f>P23</f>
        <v>65</v>
      </c>
      <c r="L24" t="s" s="47">
        <f>IF(J24&gt;0,"raised","paid")</f>
        <v>73</v>
      </c>
      <c r="M24" s="21"/>
      <c r="N24" s="21"/>
      <c r="O24" s="21"/>
      <c r="P24" s="21"/>
    </row>
    <row r="25" ht="32.05" customHeight="1">
      <c r="H25" s="30"/>
      <c r="I25" t="s" s="46">
        <f>I20</f>
        <v>57</v>
      </c>
      <c r="J25" t="s" s="47">
        <v>67</v>
      </c>
      <c r="K25" t="s" s="47">
        <f>IF(N25&gt;0,"raised","paid")</f>
        <v>73</v>
      </c>
      <c r="L25" t="s" s="47">
        <v>82</v>
      </c>
      <c r="M25" t="s" s="47">
        <f>M20</f>
        <v>69</v>
      </c>
      <c r="N25" s="18">
        <f>SUM(C3:C11)/9</f>
        <v>-4.94444444444444</v>
      </c>
      <c r="O25" t="s" s="47">
        <f>O20</f>
        <v>65</v>
      </c>
      <c r="P25" t="s" s="47">
        <f>P20</f>
        <v>70</v>
      </c>
    </row>
    <row r="26" ht="32.05" customHeight="1">
      <c r="H26" s="30"/>
      <c r="I26" t="s" s="46">
        <v>71</v>
      </c>
      <c r="J26" t="s" s="47">
        <f>L25</f>
        <v>82</v>
      </c>
      <c r="K26" t="s" s="47">
        <v>83</v>
      </c>
      <c r="L26" t="s" s="47">
        <f>IF(N26&gt;0,"raised","paid")</f>
        <v>66</v>
      </c>
      <c r="M26" t="s" s="47">
        <v>69</v>
      </c>
      <c r="N26" s="18">
        <f>SUM(C7:C11)/5</f>
        <v>17.8</v>
      </c>
      <c r="O26" t="s" s="47">
        <v>65</v>
      </c>
      <c r="P26" t="s" s="47">
        <v>70</v>
      </c>
    </row>
    <row r="27" ht="44.05" customHeight="1">
      <c r="H27" s="30"/>
      <c r="I27" t="s" s="46">
        <v>84</v>
      </c>
      <c r="J27" t="s" s="47">
        <v>75</v>
      </c>
      <c r="K27" s="18">
        <f>MAX(F3:F11)</f>
        <v>12.5</v>
      </c>
      <c r="L27" t="s" s="47">
        <f>O26</f>
        <v>65</v>
      </c>
      <c r="M27" t="s" s="47">
        <v>76</v>
      </c>
      <c r="N27" s="37">
        <f>$A3</f>
        <v>2013</v>
      </c>
      <c r="O27" s="21"/>
      <c r="P27" s="21"/>
    </row>
    <row r="28" ht="32.05" customHeight="1">
      <c r="H28" s="30"/>
      <c r="I28" t="s" s="46">
        <v>77</v>
      </c>
      <c r="J28" t="s" s="47">
        <f>J26</f>
        <v>82</v>
      </c>
      <c r="K28" t="s" s="47">
        <v>78</v>
      </c>
      <c r="L28" t="s" s="47">
        <v>85</v>
      </c>
      <c r="M28" t="s" s="47">
        <f>IF(O28&lt;K27,"down","up")</f>
        <v>86</v>
      </c>
      <c r="N28" t="s" s="47">
        <v>81</v>
      </c>
      <c r="O28" s="18">
        <f>F11</f>
        <v>-44.5</v>
      </c>
      <c r="P28" t="s" s="47">
        <f>O26</f>
        <v>65</v>
      </c>
    </row>
    <row r="29" ht="20.05" customHeight="1">
      <c r="H29" s="30"/>
      <c r="I29" t="s" s="46">
        <v>87</v>
      </c>
      <c r="J29" s="18">
        <f>O33</f>
        <v>680.5</v>
      </c>
      <c r="K29" t="s" s="47">
        <f>P28</f>
        <v>65</v>
      </c>
      <c r="L29" t="s" s="47">
        <f>IF(J29&gt;0,"raised","paid")</f>
        <v>66</v>
      </c>
      <c r="M29" s="21"/>
      <c r="N29" s="21"/>
      <c r="O29" s="21"/>
      <c r="P29" s="21"/>
    </row>
    <row r="30" ht="32.05" customHeight="1">
      <c r="H30" s="30"/>
      <c r="I30" t="s" s="46">
        <f>I25</f>
        <v>57</v>
      </c>
      <c r="J30" t="s" s="47">
        <v>67</v>
      </c>
      <c r="K30" t="s" s="47">
        <f>IF(N30&gt;0,"raised","paid")</f>
        <v>66</v>
      </c>
      <c r="L30" t="s" s="47">
        <v>88</v>
      </c>
      <c r="M30" t="s" s="47">
        <f>M25</f>
        <v>69</v>
      </c>
      <c r="N30" s="18">
        <f>SUM(D3:D11)/9</f>
        <v>75.6111111111111</v>
      </c>
      <c r="O30" t="s" s="47">
        <f>O25</f>
        <v>65</v>
      </c>
      <c r="P30" t="s" s="47">
        <f>P25</f>
        <v>70</v>
      </c>
    </row>
    <row r="31" ht="32.05" customHeight="1">
      <c r="H31" s="30"/>
      <c r="I31" t="s" s="46">
        <v>71</v>
      </c>
      <c r="J31" t="s" s="47">
        <f>L30</f>
        <v>88</v>
      </c>
      <c r="K31" t="s" s="47">
        <v>83</v>
      </c>
      <c r="L31" t="s" s="47">
        <f>IF(N31&gt;0,"raised","paid")</f>
        <v>66</v>
      </c>
      <c r="M31" t="s" s="47">
        <v>69</v>
      </c>
      <c r="N31" s="18">
        <f>SUM(D7:D11)/5</f>
        <v>17.8</v>
      </c>
      <c r="O31" t="s" s="47">
        <v>65</v>
      </c>
      <c r="P31" t="s" s="47">
        <v>70</v>
      </c>
    </row>
    <row r="32" ht="44.05" customHeight="1">
      <c r="H32" s="30"/>
      <c r="I32" t="s" s="46">
        <v>89</v>
      </c>
      <c r="J32" t="s" s="47">
        <v>75</v>
      </c>
      <c r="K32" s="18">
        <f>MAX(G3:G11)</f>
        <v>680.5</v>
      </c>
      <c r="L32" t="s" s="47">
        <f>O31</f>
        <v>65</v>
      </c>
      <c r="M32" t="s" s="47">
        <v>76</v>
      </c>
      <c r="N32" s="37">
        <f>$A8</f>
        <v>2018</v>
      </c>
      <c r="O32" s="21"/>
      <c r="P32" s="21"/>
    </row>
    <row r="33" ht="32.05" customHeight="1">
      <c r="H33" s="30"/>
      <c r="I33" t="s" s="46">
        <v>77</v>
      </c>
      <c r="J33" t="s" s="47">
        <f>J31</f>
        <v>88</v>
      </c>
      <c r="K33" t="s" s="47">
        <v>78</v>
      </c>
      <c r="L33" t="s" s="47">
        <v>85</v>
      </c>
      <c r="M33" t="s" s="47">
        <f>IF(O33&lt;K32,"down","up")</f>
        <v>80</v>
      </c>
      <c r="N33" t="s" s="47">
        <v>81</v>
      </c>
      <c r="O33" s="18">
        <f>G11</f>
        <v>680.5</v>
      </c>
      <c r="P33" t="s" s="47">
        <f>O31</f>
        <v>65</v>
      </c>
    </row>
  </sheetData>
  <mergeCells count="2">
    <mergeCell ref="A1:G1"/>
    <mergeCell ref="H13:P1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